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Departamentos\Comercial\- COMERCIAL PRINCIPAL -\LICITAÇÕES\PREGÕES 2020\DIRECÃO\TRT\"/>
    </mc:Choice>
  </mc:AlternateContent>
  <bookViews>
    <workbookView xWindow="0" yWindow="0" windowWidth="20490" windowHeight="7365"/>
  </bookViews>
  <sheets>
    <sheet name="1-12 avos" sheetId="6" r:id="rId1"/>
  </sheets>
  <definedNames>
    <definedName name="_xlnm.Print_Area" localSheetId="0">'1-12 avos'!$A$1:$G$65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6" l="1"/>
  <c r="E15" i="6"/>
  <c r="E23" i="6" l="1"/>
  <c r="E16" i="6"/>
  <c r="E30" i="6" l="1"/>
  <c r="E24" i="6"/>
  <c r="E13" i="6" l="1"/>
  <c r="K38" i="6" l="1"/>
  <c r="E35" i="6"/>
  <c r="L35" i="6"/>
  <c r="H35" i="6"/>
  <c r="J35" i="6" s="1"/>
  <c r="I35" i="6" l="1"/>
  <c r="D35" i="6" s="1"/>
  <c r="E19" i="6"/>
  <c r="E21" i="6"/>
  <c r="E27" i="6" l="1"/>
  <c r="E28" i="6" l="1"/>
  <c r="E25" i="6" l="1"/>
  <c r="E20" i="6"/>
  <c r="E11" i="6" l="1"/>
  <c r="E34" i="6" l="1"/>
  <c r="E31" i="6" l="1"/>
  <c r="E32" i="6"/>
  <c r="E29" i="6" l="1"/>
  <c r="E17" i="6" l="1"/>
  <c r="E22" i="6" l="1"/>
  <c r="E18" i="6"/>
  <c r="E12" i="6"/>
  <c r="E10" i="6"/>
  <c r="E33" i="6" l="1"/>
  <c r="K18" i="6"/>
  <c r="K12" i="6"/>
  <c r="E26" i="6" l="1"/>
  <c r="H34" i="6" l="1"/>
  <c r="J34" i="6" s="1"/>
  <c r="L34" i="6" l="1"/>
  <c r="I34" i="6"/>
  <c r="D34" i="6" s="1"/>
  <c r="H11" i="6"/>
  <c r="J11" i="6" s="1"/>
  <c r="K14" i="6" l="1"/>
  <c r="M36" i="6"/>
  <c r="I11" i="6"/>
  <c r="L22" i="6" l="1"/>
  <c r="H22" i="6"/>
  <c r="L13" i="6"/>
  <c r="H13" i="6"/>
  <c r="J13" i="6" s="1"/>
  <c r="H12" i="6"/>
  <c r="I12" i="6" s="1"/>
  <c r="J22" i="6" l="1"/>
  <c r="I22" i="6"/>
  <c r="I13" i="6"/>
  <c r="D13" i="6" s="1"/>
  <c r="J12" i="6"/>
  <c r="L12" i="6"/>
  <c r="D22" i="6" l="1"/>
  <c r="D12" i="6"/>
  <c r="H10" i="6" l="1"/>
  <c r="I10" i="6" s="1"/>
  <c r="H14" i="6"/>
  <c r="H15" i="6"/>
  <c r="H16" i="6"/>
  <c r="H17" i="6"/>
  <c r="H18" i="6"/>
  <c r="H19" i="6"/>
  <c r="H20" i="6"/>
  <c r="H21" i="6"/>
  <c r="H23" i="6"/>
  <c r="H24" i="6"/>
  <c r="H25" i="6"/>
  <c r="H26" i="6"/>
  <c r="H27" i="6"/>
  <c r="H28" i="6"/>
  <c r="H29" i="6"/>
  <c r="H30" i="6"/>
  <c r="H31" i="6"/>
  <c r="H32" i="6"/>
  <c r="H33" i="6"/>
  <c r="J10" i="6" l="1"/>
  <c r="I16" i="6"/>
  <c r="L16" i="6"/>
  <c r="J16" i="6" l="1"/>
  <c r="D16" i="6" s="1"/>
  <c r="L21" i="6" l="1"/>
  <c r="L32" i="6"/>
  <c r="I32" i="6"/>
  <c r="L31" i="6"/>
  <c r="I30" i="6"/>
  <c r="J21" i="6" l="1"/>
  <c r="I21" i="6"/>
  <c r="J31" i="6"/>
  <c r="I31" i="6"/>
  <c r="J32" i="6"/>
  <c r="D32" i="6" s="1"/>
  <c r="D21" i="6" l="1"/>
  <c r="D31" i="6"/>
  <c r="I14" i="6"/>
  <c r="I15" i="6"/>
  <c r="I17" i="6"/>
  <c r="I18" i="6"/>
  <c r="I19" i="6"/>
  <c r="I20" i="6"/>
  <c r="I23" i="6"/>
  <c r="I24" i="6"/>
  <c r="I25" i="6"/>
  <c r="I26" i="6"/>
  <c r="I27" i="6"/>
  <c r="I28" i="6"/>
  <c r="I29" i="6"/>
  <c r="I33" i="6"/>
  <c r="J33" i="6" l="1"/>
  <c r="J30" i="6"/>
  <c r="J29" i="6"/>
  <c r="J28" i="6"/>
  <c r="J27" i="6"/>
  <c r="J26" i="6"/>
  <c r="J25" i="6"/>
  <c r="J24" i="6"/>
  <c r="J23" i="6"/>
  <c r="J20" i="6"/>
  <c r="K20" i="6"/>
  <c r="J19" i="6"/>
  <c r="J18" i="6"/>
  <c r="J17" i="6"/>
  <c r="J15" i="6"/>
  <c r="J14" i="6"/>
  <c r="L17" i="6" l="1"/>
  <c r="D17" i="6" s="1"/>
  <c r="L18" i="6"/>
  <c r="D18" i="6" s="1"/>
  <c r="L29" i="6"/>
  <c r="D29" i="6" s="1"/>
  <c r="L10" i="6"/>
  <c r="D10" i="6" s="1"/>
  <c r="L15" i="6"/>
  <c r="D15" i="6" s="1"/>
  <c r="L25" i="6"/>
  <c r="D25" i="6" s="1"/>
  <c r="L28" i="6"/>
  <c r="D28" i="6" s="1"/>
  <c r="L14" i="6"/>
  <c r="D14" i="6" s="1"/>
  <c r="L20" i="6"/>
  <c r="D20" i="6" s="1"/>
  <c r="L24" i="6"/>
  <c r="D24" i="6" s="1"/>
  <c r="L27" i="6"/>
  <c r="D27" i="6" s="1"/>
  <c r="L33" i="6"/>
  <c r="D33" i="6" s="1"/>
  <c r="L19" i="6"/>
  <c r="D19" i="6" s="1"/>
  <c r="L23" i="6"/>
  <c r="D23" i="6" s="1"/>
  <c r="L26" i="6"/>
  <c r="D26" i="6" s="1"/>
  <c r="L30" i="6"/>
  <c r="D30" i="6" s="1"/>
  <c r="K11" i="6"/>
  <c r="K37" i="6" l="1"/>
  <c r="K39" i="6" s="1"/>
  <c r="M37" i="6" s="1"/>
  <c r="K36" i="6"/>
  <c r="L11" i="6"/>
  <c r="D11" i="6"/>
  <c r="D36" i="6" s="1"/>
  <c r="B47" i="6" l="1"/>
  <c r="D38" i="6" l="1"/>
  <c r="B42" i="6"/>
  <c r="A43" i="6"/>
</calcChain>
</file>

<file path=xl/sharedStrings.xml><?xml version="1.0" encoding="utf-8"?>
<sst xmlns="http://schemas.openxmlformats.org/spreadsheetml/2006/main" count="114" uniqueCount="91">
  <si>
    <t>Órgão/Empresa</t>
  </si>
  <si>
    <t>Valor Total dos Contratos</t>
  </si>
  <si>
    <t xml:space="preserve">T.R.E./MG - Av. Prudente de Morais, 100 - Cidade Jardim - BH - MG </t>
  </si>
  <si>
    <t>T.R.E./MG - Av. Presidente Itamar Franco, 1420 - Centro - Juiz de Fora - MG - 36.016-270</t>
  </si>
  <si>
    <t>IF Sudeste Ubá</t>
  </si>
  <si>
    <t>IF Sudeste Cataguases</t>
  </si>
  <si>
    <t>Laboratório Nacional de Astrofísica - LNA</t>
  </si>
  <si>
    <t>Ministério da Fazenda</t>
  </si>
  <si>
    <t>Receita Federal Divinópolis</t>
  </si>
  <si>
    <t>T.R.E./MG - Av. Prudente de Morais, 100 - Cidade Jardim - BH - MG</t>
  </si>
  <si>
    <t>Objeto</t>
  </si>
  <si>
    <t>Limpeza</t>
  </si>
  <si>
    <t>Portaria</t>
  </si>
  <si>
    <t>Recepção</t>
  </si>
  <si>
    <t>Continuo</t>
  </si>
  <si>
    <t>T.R.E./MG - Contagem - MG</t>
  </si>
  <si>
    <t>T.R.E./MG - Montes Claros - MG</t>
  </si>
  <si>
    <t>T.R.E./MG - Uberaba - MG</t>
  </si>
  <si>
    <t>T.R.E./MG - Uberlandia - MG</t>
  </si>
  <si>
    <t>Motociclista</t>
  </si>
  <si>
    <t>Masterzoo Indústria e Com. Rações Ltda - ROD MG 050 KM 47,7 - Betim</t>
  </si>
  <si>
    <t>Inicio</t>
  </si>
  <si>
    <t>Termino</t>
  </si>
  <si>
    <t>Hoje</t>
  </si>
  <si>
    <t xml:space="preserve">MESES </t>
  </si>
  <si>
    <t>DIAS</t>
  </si>
  <si>
    <t>VALOR MÊS</t>
  </si>
  <si>
    <t>VALOR DIA</t>
  </si>
  <si>
    <t>Nº / Ano do Contrato</t>
  </si>
  <si>
    <t>1/2017</t>
  </si>
  <si>
    <t>18/2016</t>
  </si>
  <si>
    <t>38/2016</t>
  </si>
  <si>
    <t>9/2016</t>
  </si>
  <si>
    <t>2/2016</t>
  </si>
  <si>
    <t>4/2016</t>
  </si>
  <si>
    <t>168/2016</t>
  </si>
  <si>
    <t>02/2017</t>
  </si>
  <si>
    <t>160/2016</t>
  </si>
  <si>
    <t>24/2016</t>
  </si>
  <si>
    <t>62/2016</t>
  </si>
  <si>
    <t>150/2016</t>
  </si>
  <si>
    <t>Valor do Patrimônio Líquido</t>
  </si>
  <si>
    <t>1/12 avos dos Contratos</t>
  </si>
  <si>
    <t>Valor total do 
Contrato</t>
  </si>
  <si>
    <t>(Valor do Patrimônio Líquido x 12) / Valor Total dos Contratos</t>
  </si>
  <si>
    <t>Cálculo demonstrativo comprovando que o PL é superior a 1/12  dos contratos firmados com a Administração Pública e ou Privada:</t>
  </si>
  <si>
    <t>Cálculo demonstrativo da variação percentual dos contratos firmados com Administração Pública e ou Privada em relação a Receita Bruta:</t>
  </si>
  <si>
    <t>((Valor da Receita Bruta - Valor Total dos Contratos) x 100) / Valor da Receita Bruta</t>
  </si>
  <si>
    <t>Justificativa divergência percentual superior a 10%:</t>
  </si>
  <si>
    <t>Valor Real</t>
  </si>
  <si>
    <t>T.R.E./MG - Ipatinga - MG</t>
  </si>
  <si>
    <t>T.R.E./MG - Ribeirão das Neves - MG</t>
  </si>
  <si>
    <t>111/2017</t>
  </si>
  <si>
    <t>102/2017</t>
  </si>
  <si>
    <t>Receita Federal Governador Valadares</t>
  </si>
  <si>
    <t>05/2017</t>
  </si>
  <si>
    <t>IFMG Manhuaçu</t>
  </si>
  <si>
    <t>Diversos</t>
  </si>
  <si>
    <t>01/2018</t>
  </si>
  <si>
    <t>Declaramos que a empresa Direcional Gestão de Serviços Eirelli, inscrita no CNPJ (MF) nº 12.572.501/0001-21, possui os seguintes contratos firmados com a iniciativa privada e administração pública:</t>
  </si>
  <si>
    <t xml:space="preserve">Cond. Olimpo </t>
  </si>
  <si>
    <t xml:space="preserve">Cond Frederico Ernesto </t>
  </si>
  <si>
    <t xml:space="preserve">IF Sudeste Santos Dumont </t>
  </si>
  <si>
    <t xml:space="preserve">Mitra Arq. Paraquia S Lucia </t>
  </si>
  <si>
    <t>WTP ULTRASONIC</t>
  </si>
  <si>
    <t>0026/2014</t>
  </si>
  <si>
    <t>004/2017</t>
  </si>
  <si>
    <t>Cond João Correa</t>
  </si>
  <si>
    <t>001/12</t>
  </si>
  <si>
    <t>15/092017</t>
  </si>
  <si>
    <t>s/n</t>
  </si>
  <si>
    <t>008/2017</t>
  </si>
  <si>
    <t>005/2016</t>
  </si>
  <si>
    <t>Universidade Federal de São João Del-Rei - UFSJ</t>
  </si>
  <si>
    <t>092/2016</t>
  </si>
  <si>
    <t>OBS</t>
  </si>
  <si>
    <t>006/2018</t>
  </si>
  <si>
    <t>(662592,43 x 12)  =</t>
  </si>
  <si>
    <t>((5.427.452,64 - 2.322.873,13) x 100) =</t>
  </si>
  <si>
    <t>A diferença acima de 10% em relação aos Contratos Firmados e a Receita Bruta demonstrada no Resultado do Exercício (DRE) se dá por conta do Balanço apresentado ser referente a 2019, ano este que vários compromissos se findaram, bem como ao longo de 2019/2020 Outros estão no fim do contrato e muitos sofreram supressões/reajustes. Além de novos compromissos terem sido agregados. Ressaltando que o valor do patrimonio líquido não foi ultrapassado.</t>
  </si>
  <si>
    <t>Limpeza, Portaria</t>
  </si>
  <si>
    <t>Tribunal Regional do Trabalho - TRT3 - Av. Getúlio Vargas, 225 - Belo Horizonte/MG</t>
  </si>
  <si>
    <t>20SR020</t>
  </si>
  <si>
    <t>Aplicar aviso</t>
  </si>
  <si>
    <t>interesse renovação em 10/12/2020</t>
  </si>
  <si>
    <t>vigência Garantia vai até 27/05/2020.</t>
  </si>
  <si>
    <t>Belo Horizonte, 15 de janeiro de 2021.</t>
  </si>
  <si>
    <t xml:space="preserve">AO </t>
  </si>
  <si>
    <t xml:space="preserve">TRIBUNAL REGIONAL DO TRABALHO </t>
  </si>
  <si>
    <t>PERGÃO 23/2019</t>
  </si>
  <si>
    <t>DECLARAÇÃO DE CONTRATOS FIRMADOS COM A INICIATIVA PRIVADA E COM A ADMINISTRAÇÃO PÚBLICA - ATUALIZADA EM 15/01/2021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</si>
</sst>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Unicode MS"/>
      <family val="2"/>
    </font>
    <font>
      <b/>
      <sz val="11"/>
      <color theme="1"/>
      <name val="Arial Unicode MS"/>
      <family val="2"/>
    </font>
    <font>
      <u/>
      <sz val="11"/>
      <color theme="1"/>
      <name val="Arial Unicode MS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sz val="11"/>
      <name val="Arial Unicode MS"/>
      <family val="2"/>
    </font>
    <font>
      <sz val="12"/>
      <color theme="1"/>
      <name val="Calibri"/>
      <family val="2"/>
      <scheme val="minor"/>
    </font>
    <font>
      <sz val="11"/>
      <color rgb="FF0070C0"/>
      <name val="Arial Unicode MS"/>
      <family val="2"/>
    </font>
    <font>
      <sz val="11"/>
      <color rgb="FFFF0000"/>
      <name val="Arial Unicode MS"/>
      <family val="2"/>
    </font>
    <font>
      <sz val="11"/>
      <color theme="1" tint="4.9989318521683403E-2"/>
      <name val="Arial Unicode MS"/>
      <family val="2"/>
    </font>
    <font>
      <b/>
      <sz val="11"/>
      <color rgb="FFFF0000"/>
      <name val="Arial Unicode MS"/>
      <family val="2"/>
    </font>
    <font>
      <b/>
      <sz val="11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4">
    <xf numFmtId="0" fontId="0" fillId="0" borderId="0" xfId="0"/>
    <xf numFmtId="0" fontId="2" fillId="2" borderId="17" xfId="0" applyFont="1" applyFill="1" applyBorder="1" applyAlignment="1">
      <alignment horizontal="center" vertical="center"/>
    </xf>
    <xf numFmtId="164" fontId="2" fillId="2" borderId="8" xfId="1" applyNumberFormat="1" applyFont="1" applyFill="1" applyBorder="1" applyAlignment="1">
      <alignment horizontal="center" vertical="center"/>
    </xf>
    <xf numFmtId="164" fontId="2" fillId="2" borderId="10" xfId="1" applyNumberFormat="1" applyFont="1" applyFill="1" applyBorder="1" applyAlignment="1">
      <alignment vertical="center"/>
    </xf>
    <xf numFmtId="14" fontId="2" fillId="2" borderId="10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10" xfId="0" applyFont="1" applyFill="1" applyBorder="1" applyAlignment="1">
      <alignment horizontal="center" vertical="center"/>
    </xf>
    <xf numFmtId="17" fontId="2" fillId="2" borderId="10" xfId="0" quotePrefix="1" applyNumberFormat="1" applyFont="1" applyFill="1" applyBorder="1" applyAlignment="1">
      <alignment horizontal="center" vertical="center"/>
    </xf>
    <xf numFmtId="0" fontId="7" fillId="2" borderId="0" xfId="0" applyNumberFormat="1" applyFont="1" applyFill="1" applyBorder="1" applyAlignment="1">
      <alignment horizontal="center" vertical="center"/>
    </xf>
    <xf numFmtId="14" fontId="7" fillId="2" borderId="10" xfId="0" applyNumberFormat="1" applyFont="1" applyFill="1" applyBorder="1" applyAlignment="1">
      <alignment horizontal="center" vertical="center"/>
    </xf>
    <xf numFmtId="0" fontId="2" fillId="2" borderId="10" xfId="0" quotePrefix="1" applyFont="1" applyFill="1" applyBorder="1" applyAlignment="1">
      <alignment horizontal="center" vertical="center"/>
    </xf>
    <xf numFmtId="17" fontId="2" fillId="2" borderId="10" xfId="0" applyNumberFormat="1" applyFont="1" applyFill="1" applyBorder="1" applyAlignment="1">
      <alignment horizontal="center" vertical="center"/>
    </xf>
    <xf numFmtId="0" fontId="2" fillId="2" borderId="17" xfId="0" quotePrefix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43" fontId="2" fillId="2" borderId="0" xfId="3" applyFont="1" applyFill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left" vertical="center" indent="1"/>
    </xf>
    <xf numFmtId="17" fontId="2" fillId="2" borderId="17" xfId="0" applyNumberFormat="1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left" vertical="center" indent="1"/>
    </xf>
    <xf numFmtId="0" fontId="7" fillId="2" borderId="17" xfId="0" applyFont="1" applyFill="1" applyBorder="1" applyAlignment="1">
      <alignment horizontal="center" vertical="center"/>
    </xf>
    <xf numFmtId="164" fontId="7" fillId="2" borderId="8" xfId="1" applyNumberFormat="1" applyFont="1" applyFill="1" applyBorder="1" applyAlignment="1">
      <alignment horizontal="center" vertical="center"/>
    </xf>
    <xf numFmtId="164" fontId="7" fillId="2" borderId="10" xfId="1" applyNumberFormat="1" applyFont="1" applyFill="1" applyBorder="1" applyAlignment="1">
      <alignment vertical="center"/>
    </xf>
    <xf numFmtId="4" fontId="7" fillId="2" borderId="0" xfId="0" applyNumberFormat="1" applyFont="1" applyFill="1" applyAlignment="1">
      <alignment vertical="center"/>
    </xf>
    <xf numFmtId="0" fontId="7" fillId="2" borderId="0" xfId="0" applyFont="1" applyFill="1" applyAlignment="1">
      <alignment vertical="center"/>
    </xf>
    <xf numFmtId="49" fontId="2" fillId="2" borderId="17" xfId="0" applyNumberFormat="1" applyFont="1" applyFill="1" applyBorder="1" applyAlignment="1">
      <alignment horizontal="center" vertical="center"/>
    </xf>
    <xf numFmtId="0" fontId="10" fillId="2" borderId="0" xfId="0" applyNumberFormat="1" applyFont="1" applyFill="1" applyBorder="1" applyAlignment="1">
      <alignment horizontal="center" vertical="center"/>
    </xf>
    <xf numFmtId="0" fontId="9" fillId="2" borderId="0" xfId="0" applyNumberFormat="1" applyFont="1" applyFill="1" applyBorder="1" applyAlignment="1">
      <alignment horizontal="center" vertical="center"/>
    </xf>
    <xf numFmtId="1" fontId="2" fillId="2" borderId="10" xfId="0" quotePrefix="1" applyNumberFormat="1" applyFont="1" applyFill="1" applyBorder="1" applyAlignment="1">
      <alignment horizontal="center" vertical="center"/>
    </xf>
    <xf numFmtId="0" fontId="11" fillId="2" borderId="0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indent="1"/>
    </xf>
    <xf numFmtId="0" fontId="2" fillId="2" borderId="13" xfId="0" applyFont="1" applyFill="1" applyBorder="1" applyAlignment="1">
      <alignment horizontal="left" vertical="center" indent="1"/>
    </xf>
    <xf numFmtId="0" fontId="2" fillId="2" borderId="11" xfId="0" applyFont="1" applyFill="1" applyBorder="1" applyAlignment="1">
      <alignment horizontal="center" vertical="center"/>
    </xf>
    <xf numFmtId="164" fontId="2" fillId="2" borderId="11" xfId="1" applyNumberFormat="1" applyFont="1" applyFill="1" applyBorder="1" applyAlignment="1">
      <alignment vertical="center"/>
    </xf>
    <xf numFmtId="14" fontId="2" fillId="2" borderId="11" xfId="0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164" fontId="2" fillId="2" borderId="17" xfId="1" applyNumberFormat="1" applyFont="1" applyFill="1" applyBorder="1" applyAlignment="1">
      <alignment vertical="center"/>
    </xf>
    <xf numFmtId="14" fontId="2" fillId="2" borderId="17" xfId="0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left" vertical="center" indent="1"/>
    </xf>
    <xf numFmtId="0" fontId="2" fillId="2" borderId="7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64" fontId="2" fillId="2" borderId="11" xfId="1" applyNumberFormat="1" applyFont="1" applyFill="1" applyBorder="1" applyAlignment="1">
      <alignment horizontal="center" vertical="center"/>
    </xf>
    <xf numFmtId="164" fontId="2" fillId="2" borderId="18" xfId="1" applyNumberFormat="1" applyFont="1" applyFill="1" applyBorder="1" applyAlignment="1">
      <alignment horizontal="center" vertical="center"/>
    </xf>
    <xf numFmtId="164" fontId="2" fillId="2" borderId="0" xfId="1" applyNumberFormat="1" applyFont="1" applyFill="1" applyBorder="1" applyAlignment="1">
      <alignment horizontal="center" vertical="center"/>
    </xf>
    <xf numFmtId="164" fontId="2" fillId="2" borderId="0" xfId="0" applyNumberFormat="1" applyFont="1" applyFill="1" applyAlignment="1">
      <alignment vertical="center"/>
    </xf>
    <xf numFmtId="7" fontId="2" fillId="2" borderId="9" xfId="1" applyNumberFormat="1" applyFont="1" applyFill="1" applyBorder="1" applyAlignment="1">
      <alignment horizontal="center" vertical="center"/>
    </xf>
    <xf numFmtId="43" fontId="2" fillId="2" borderId="0" xfId="3" applyFont="1" applyFill="1" applyAlignment="1">
      <alignment vertical="center"/>
    </xf>
    <xf numFmtId="43" fontId="2" fillId="2" borderId="0" xfId="0" applyNumberFormat="1" applyFont="1" applyFill="1" applyAlignment="1">
      <alignment vertical="center"/>
    </xf>
    <xf numFmtId="7" fontId="3" fillId="2" borderId="9" xfId="1" applyNumberFormat="1" applyFont="1" applyFill="1" applyBorder="1" applyAlignment="1">
      <alignment horizontal="center" vertical="center"/>
    </xf>
    <xf numFmtId="44" fontId="2" fillId="2" borderId="0" xfId="1" applyFont="1" applyFill="1" applyAlignment="1">
      <alignment horizontal="center" vertical="center"/>
    </xf>
    <xf numFmtId="10" fontId="2" fillId="2" borderId="0" xfId="2" applyNumberFormat="1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3" xfId="0" applyFont="1" applyFill="1" applyBorder="1" applyAlignment="1">
      <alignment horizontal="center" vertical="center"/>
    </xf>
    <xf numFmtId="4" fontId="2" fillId="2" borderId="15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justify" vertical="center" wrapText="1"/>
    </xf>
    <xf numFmtId="14" fontId="5" fillId="2" borderId="0" xfId="0" applyNumberFormat="1" applyFont="1" applyFill="1"/>
    <xf numFmtId="0" fontId="5" fillId="2" borderId="0" xfId="0" applyFont="1" applyFill="1"/>
    <xf numFmtId="4" fontId="5" fillId="2" borderId="0" xfId="0" applyNumberFormat="1" applyFont="1" applyFill="1"/>
    <xf numFmtId="0" fontId="6" fillId="2" borderId="0" xfId="0" applyFont="1" applyFill="1"/>
    <xf numFmtId="0" fontId="0" fillId="2" borderId="0" xfId="0" applyFill="1" applyAlignment="1">
      <alignment horizontal="justify" vertical="center"/>
    </xf>
    <xf numFmtId="0" fontId="0" fillId="2" borderId="0" xfId="0" applyFill="1"/>
    <xf numFmtId="0" fontId="8" fillId="2" borderId="0" xfId="0" applyFont="1" applyFill="1" applyAlignment="1">
      <alignment horizontal="justify" vertical="center"/>
    </xf>
    <xf numFmtId="0" fontId="7" fillId="2" borderId="0" xfId="0" applyFont="1" applyFill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14" fontId="7" fillId="2" borderId="17" xfId="0" applyNumberFormat="1" applyFont="1" applyFill="1" applyBorder="1" applyAlignment="1">
      <alignment horizontal="center" vertical="center"/>
    </xf>
    <xf numFmtId="14" fontId="7" fillId="2" borderId="11" xfId="0" applyNumberFormat="1" applyFont="1" applyFill="1" applyBorder="1" applyAlignment="1">
      <alignment horizontal="center" vertical="center"/>
    </xf>
    <xf numFmtId="2" fontId="7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justify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2" fontId="2" fillId="2" borderId="4" xfId="0" applyNumberFormat="1" applyFont="1" applyFill="1" applyBorder="1" applyAlignment="1">
      <alignment horizontal="center" vertical="center"/>
    </xf>
    <xf numFmtId="2" fontId="2" fillId="2" borderId="16" xfId="0" applyNumberFormat="1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10" fontId="2" fillId="2" borderId="2" xfId="2" applyNumberFormat="1" applyFont="1" applyFill="1" applyBorder="1" applyAlignment="1">
      <alignment horizontal="center" vertical="center"/>
    </xf>
    <xf numFmtId="10" fontId="2" fillId="2" borderId="16" xfId="2" applyNumberFormat="1" applyFont="1" applyFill="1" applyBorder="1" applyAlignment="1">
      <alignment horizontal="center" vertical="center"/>
    </xf>
  </cellXfs>
  <cellStyles count="4">
    <cellStyle name="Moeda" xfId="1" builtinId="4"/>
    <cellStyle name="Normal" xfId="0" builtinId="0"/>
    <cellStyle name="Porcentagem" xfId="2" builtinId="5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59</xdr:row>
      <xdr:rowOff>0</xdr:rowOff>
    </xdr:from>
    <xdr:to>
      <xdr:col>0</xdr:col>
      <xdr:colOff>2543175</xdr:colOff>
      <xdr:row>63</xdr:row>
      <xdr:rowOff>9525</xdr:rowOff>
    </xdr:to>
    <xdr:pic>
      <xdr:nvPicPr>
        <xdr:cNvPr id="2" name="Imagem 1" descr="11 assinatura paul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297150"/>
          <a:ext cx="2543175" cy="847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506392</xdr:colOff>
      <xdr:row>3</xdr:row>
      <xdr:rowOff>0</xdr:rowOff>
    </xdr:from>
    <xdr:to>
      <xdr:col>6</xdr:col>
      <xdr:colOff>758459</xdr:colOff>
      <xdr:row>3</xdr:row>
      <xdr:rowOff>584127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56930" y="614905"/>
          <a:ext cx="2603175" cy="5841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tabSelected="1" view="pageBreakPreview" zoomScale="79" zoomScaleNormal="79" zoomScaleSheetLayoutView="79" zoomScalePageLayoutView="60" workbookViewId="0">
      <selection activeCell="E58" sqref="E58"/>
    </sheetView>
  </sheetViews>
  <sheetFormatPr defaultColWidth="9.140625" defaultRowHeight="16.5" x14ac:dyDescent="0.25"/>
  <cols>
    <col min="1" max="1" width="94.85546875" style="7" customWidth="1"/>
    <col min="2" max="2" width="17.7109375" style="15" customWidth="1"/>
    <col min="3" max="3" width="16.7109375" style="15" customWidth="1"/>
    <col min="4" max="4" width="18.42578125" style="15" customWidth="1"/>
    <col min="5" max="5" width="20.7109375" style="7" customWidth="1"/>
    <col min="6" max="6" width="14.42578125" style="15" customWidth="1"/>
    <col min="7" max="7" width="14.42578125" style="68" bestFit="1" customWidth="1"/>
    <col min="8" max="8" width="14.42578125" style="15" bestFit="1" customWidth="1"/>
    <col min="9" max="9" width="13.7109375" style="15" customWidth="1"/>
    <col min="10" max="10" width="11.7109375" style="15" customWidth="1"/>
    <col min="11" max="11" width="16.140625" style="7" bestFit="1" customWidth="1"/>
    <col min="12" max="12" width="14.5703125" style="7" bestFit="1" customWidth="1"/>
    <col min="13" max="13" width="17.85546875" style="7" bestFit="1" customWidth="1"/>
    <col min="14" max="16384" width="9.140625" style="7"/>
  </cols>
  <sheetData>
    <row r="1" spans="1:13" x14ac:dyDescent="0.25">
      <c r="A1" s="7" t="s">
        <v>87</v>
      </c>
    </row>
    <row r="2" spans="1:13" x14ac:dyDescent="0.25">
      <c r="A2" s="7" t="s">
        <v>88</v>
      </c>
    </row>
    <row r="3" spans="1:13" x14ac:dyDescent="0.25">
      <c r="A3" s="7" t="s">
        <v>89</v>
      </c>
    </row>
    <row r="4" spans="1:13" ht="64.900000000000006" customHeight="1" x14ac:dyDescent="0.25">
      <c r="H4" s="16"/>
    </row>
    <row r="5" spans="1:13" ht="22.5" customHeight="1" x14ac:dyDescent="0.25">
      <c r="A5" s="73" t="s">
        <v>90</v>
      </c>
      <c r="B5" s="73"/>
      <c r="C5" s="73"/>
      <c r="D5" s="73"/>
      <c r="E5" s="73"/>
      <c r="F5" s="73"/>
      <c r="G5" s="73"/>
    </row>
    <row r="7" spans="1:13" ht="39" customHeight="1" x14ac:dyDescent="0.25">
      <c r="A7" s="74" t="s">
        <v>59</v>
      </c>
      <c r="B7" s="74"/>
      <c r="C7" s="74"/>
      <c r="D7" s="74"/>
      <c r="E7" s="74"/>
      <c r="F7" s="74"/>
      <c r="G7" s="74"/>
    </row>
    <row r="8" spans="1:13" ht="17.25" thickBot="1" x14ac:dyDescent="0.3"/>
    <row r="9" spans="1:13" ht="35.25" customHeight="1" thickBot="1" x14ac:dyDescent="0.3">
      <c r="A9" s="17" t="s">
        <v>0</v>
      </c>
      <c r="B9" s="18" t="s">
        <v>10</v>
      </c>
      <c r="C9" s="18" t="s">
        <v>28</v>
      </c>
      <c r="D9" s="19" t="s">
        <v>43</v>
      </c>
      <c r="E9" s="18" t="s">
        <v>49</v>
      </c>
      <c r="F9" s="20" t="s">
        <v>21</v>
      </c>
      <c r="G9" s="69" t="s">
        <v>22</v>
      </c>
      <c r="H9" s="20" t="s">
        <v>23</v>
      </c>
      <c r="I9" s="21" t="s">
        <v>24</v>
      </c>
      <c r="J9" s="21" t="s">
        <v>25</v>
      </c>
      <c r="K9" s="22" t="s">
        <v>26</v>
      </c>
      <c r="L9" s="21" t="s">
        <v>27</v>
      </c>
      <c r="M9" s="21" t="s">
        <v>75</v>
      </c>
    </row>
    <row r="10" spans="1:13" ht="17.25" customHeight="1" x14ac:dyDescent="0.25">
      <c r="A10" s="23" t="s">
        <v>60</v>
      </c>
      <c r="B10" s="1" t="s">
        <v>11</v>
      </c>
      <c r="C10" s="14" t="s">
        <v>65</v>
      </c>
      <c r="D10" s="2">
        <f ca="1">(K10*I10)+(L10*J10)</f>
        <v>17622.472000000002</v>
      </c>
      <c r="E10" s="3">
        <f>1527.96*12</f>
        <v>18335.52</v>
      </c>
      <c r="F10" s="4">
        <v>40940</v>
      </c>
      <c r="G10" s="11">
        <v>44561</v>
      </c>
      <c r="H10" s="4">
        <f t="shared" ref="H10:H35" ca="1" si="0">TODAY()</f>
        <v>44211</v>
      </c>
      <c r="I10" s="5">
        <f ca="1">DATEDIF(H10,G10,"m")</f>
        <v>11</v>
      </c>
      <c r="J10" s="5">
        <f ca="1">DATEDIF(H10,G10,"md")</f>
        <v>16</v>
      </c>
      <c r="K10" s="6">
        <v>1527.96</v>
      </c>
      <c r="L10" s="6">
        <f t="shared" ref="L10:L33" si="1">K10/30</f>
        <v>50.932000000000002</v>
      </c>
    </row>
    <row r="11" spans="1:13" ht="17.25" customHeight="1" x14ac:dyDescent="0.25">
      <c r="A11" s="23" t="s">
        <v>67</v>
      </c>
      <c r="B11" s="1" t="s">
        <v>11</v>
      </c>
      <c r="C11" s="14" t="s">
        <v>68</v>
      </c>
      <c r="D11" s="2">
        <f ca="1">(K11*I11)+(L11*J11)</f>
        <v>3329.348</v>
      </c>
      <c r="E11" s="3">
        <f>(1675.32+4200)*12</f>
        <v>70503.839999999997</v>
      </c>
      <c r="F11" s="4">
        <v>40940</v>
      </c>
      <c r="G11" s="11">
        <v>44228</v>
      </c>
      <c r="H11" s="4">
        <f t="shared" ca="1" si="0"/>
        <v>44211</v>
      </c>
      <c r="I11" s="5">
        <f ca="1">DATEDIF(H11,G11,"m")</f>
        <v>0</v>
      </c>
      <c r="J11" s="5">
        <f ca="1">DATEDIF(H11,G11,"md")</f>
        <v>17</v>
      </c>
      <c r="K11" s="6">
        <f>E11/12</f>
        <v>5875.32</v>
      </c>
      <c r="L11" s="6">
        <f>K11/30</f>
        <v>195.84399999999999</v>
      </c>
    </row>
    <row r="12" spans="1:13" ht="17.25" customHeight="1" x14ac:dyDescent="0.25">
      <c r="A12" s="23" t="s">
        <v>61</v>
      </c>
      <c r="B12" s="1" t="s">
        <v>11</v>
      </c>
      <c r="C12" s="14" t="s">
        <v>66</v>
      </c>
      <c r="D12" s="2">
        <f ca="1">(K12*I12)+(L12*J12)</f>
        <v>6263.753333333334</v>
      </c>
      <c r="E12" s="3">
        <f>543.1*12</f>
        <v>6517.2000000000007</v>
      </c>
      <c r="F12" s="4" t="s">
        <v>69</v>
      </c>
      <c r="G12" s="11">
        <v>44561</v>
      </c>
      <c r="H12" s="4">
        <f t="shared" ca="1" si="0"/>
        <v>44211</v>
      </c>
      <c r="I12" s="10">
        <f ca="1">DATEDIF(H12,G12,"m")</f>
        <v>11</v>
      </c>
      <c r="J12" s="5">
        <f ca="1">DATEDIF(H12,G12,"md")</f>
        <v>16</v>
      </c>
      <c r="K12" s="6">
        <f>E12/12</f>
        <v>543.1</v>
      </c>
      <c r="L12" s="6">
        <f>K12/30</f>
        <v>18.103333333333335</v>
      </c>
    </row>
    <row r="13" spans="1:13" ht="17.25" customHeight="1" x14ac:dyDescent="0.25">
      <c r="A13" s="23" t="s">
        <v>62</v>
      </c>
      <c r="B13" s="1" t="s">
        <v>12</v>
      </c>
      <c r="C13" s="24" t="s">
        <v>76</v>
      </c>
      <c r="D13" s="2">
        <f ca="1">(K13*I13)+(L13*J13)</f>
        <v>69825.066666666666</v>
      </c>
      <c r="E13" s="3">
        <f>6546.1*12</f>
        <v>78553.200000000012</v>
      </c>
      <c r="F13" s="4">
        <v>43439</v>
      </c>
      <c r="G13" s="11">
        <v>44535</v>
      </c>
      <c r="H13" s="4">
        <f t="shared" ca="1" si="0"/>
        <v>44211</v>
      </c>
      <c r="I13" s="10">
        <f ca="1">DATEDIF(H13,G13,"m")</f>
        <v>10</v>
      </c>
      <c r="J13" s="5">
        <f ca="1">DATEDIF(H13,G13,"md")</f>
        <v>20</v>
      </c>
      <c r="K13" s="6">
        <v>6546.1</v>
      </c>
      <c r="L13" s="6">
        <f>K13/30</f>
        <v>218.20333333333335</v>
      </c>
    </row>
    <row r="14" spans="1:13" s="30" customFormat="1" ht="17.25" customHeight="1" x14ac:dyDescent="0.25">
      <c r="A14" s="25" t="s">
        <v>4</v>
      </c>
      <c r="B14" s="26" t="s">
        <v>12</v>
      </c>
      <c r="C14" s="26" t="s">
        <v>30</v>
      </c>
      <c r="D14" s="27">
        <f t="shared" ref="D14:D32" ca="1" si="2">(K14*I14)+(L14*J14)</f>
        <v>62070.400000000001</v>
      </c>
      <c r="E14" s="28">
        <f>13692*12</f>
        <v>164304</v>
      </c>
      <c r="F14" s="11">
        <v>43252</v>
      </c>
      <c r="G14" s="11">
        <v>44347</v>
      </c>
      <c r="H14" s="11">
        <f t="shared" ca="1" si="0"/>
        <v>44211</v>
      </c>
      <c r="I14" s="10">
        <f t="shared" ref="I14:I33" ca="1" si="3">DATEDIF(H14,G14,"m")</f>
        <v>4</v>
      </c>
      <c r="J14" s="10">
        <f t="shared" ref="J14:J33" ca="1" si="4">DATEDIF(H14,G14,"md")</f>
        <v>16</v>
      </c>
      <c r="K14" s="29">
        <f>E14/12</f>
        <v>13692</v>
      </c>
      <c r="L14" s="29">
        <f t="shared" si="1"/>
        <v>456.4</v>
      </c>
    </row>
    <row r="15" spans="1:13" ht="17.25" customHeight="1" x14ac:dyDescent="0.25">
      <c r="A15" s="23" t="s">
        <v>5</v>
      </c>
      <c r="B15" s="1" t="s">
        <v>12</v>
      </c>
      <c r="C15" s="1" t="s">
        <v>31</v>
      </c>
      <c r="D15" s="2">
        <f t="shared" ca="1" si="2"/>
        <v>118975.58000000002</v>
      </c>
      <c r="E15" s="3">
        <f>15060.2*12</f>
        <v>180722.40000000002</v>
      </c>
      <c r="F15" s="4">
        <v>42625</v>
      </c>
      <c r="G15" s="11">
        <v>44450</v>
      </c>
      <c r="H15" s="4">
        <f t="shared" ca="1" si="0"/>
        <v>44211</v>
      </c>
      <c r="I15" s="10">
        <f t="shared" ca="1" si="3"/>
        <v>7</v>
      </c>
      <c r="J15" s="5">
        <f t="shared" ca="1" si="4"/>
        <v>27</v>
      </c>
      <c r="K15" s="6">
        <v>15060.2</v>
      </c>
      <c r="L15" s="6">
        <f t="shared" si="1"/>
        <v>502.00666666666672</v>
      </c>
    </row>
    <row r="16" spans="1:13" ht="17.25" customHeight="1" x14ac:dyDescent="0.25">
      <c r="A16" s="23" t="s">
        <v>56</v>
      </c>
      <c r="B16" s="1" t="s">
        <v>57</v>
      </c>
      <c r="C16" s="31" t="s">
        <v>58</v>
      </c>
      <c r="D16" s="2">
        <f t="shared" ca="1" si="2"/>
        <v>18697.095999999998</v>
      </c>
      <c r="E16" s="3">
        <f>23371.37*12</f>
        <v>280456.44</v>
      </c>
      <c r="F16" s="4">
        <v>43139</v>
      </c>
      <c r="G16" s="11">
        <v>44235</v>
      </c>
      <c r="H16" s="4">
        <f t="shared" ca="1" si="0"/>
        <v>44211</v>
      </c>
      <c r="I16" s="32">
        <f t="shared" ca="1" si="3"/>
        <v>0</v>
      </c>
      <c r="J16" s="5">
        <f t="shared" ca="1" si="4"/>
        <v>24</v>
      </c>
      <c r="K16" s="6">
        <v>23371.37</v>
      </c>
      <c r="L16" s="6">
        <f t="shared" si="1"/>
        <v>779.04566666666665</v>
      </c>
      <c r="M16" s="7" t="s">
        <v>84</v>
      </c>
    </row>
    <row r="17" spans="1:13" ht="17.25" customHeight="1" x14ac:dyDescent="0.25">
      <c r="A17" s="23" t="s">
        <v>6</v>
      </c>
      <c r="B17" s="1" t="s">
        <v>11</v>
      </c>
      <c r="C17" s="14" t="s">
        <v>32</v>
      </c>
      <c r="D17" s="2">
        <f t="shared" ca="1" si="2"/>
        <v>242384.93633333335</v>
      </c>
      <c r="E17" s="3">
        <f>20955.47*12</f>
        <v>251465.64</v>
      </c>
      <c r="F17" s="4">
        <v>42370</v>
      </c>
      <c r="G17" s="11">
        <v>44562</v>
      </c>
      <c r="H17" s="4">
        <f t="shared" ca="1" si="0"/>
        <v>44211</v>
      </c>
      <c r="I17" s="5">
        <f t="shared" ca="1" si="3"/>
        <v>11</v>
      </c>
      <c r="J17" s="5">
        <f t="shared" ca="1" si="4"/>
        <v>17</v>
      </c>
      <c r="K17" s="6">
        <v>20955.47</v>
      </c>
      <c r="L17" s="6">
        <f t="shared" si="1"/>
        <v>698.51566666666668</v>
      </c>
    </row>
    <row r="18" spans="1:13" ht="17.25" customHeight="1" x14ac:dyDescent="0.25">
      <c r="A18" s="23" t="s">
        <v>20</v>
      </c>
      <c r="B18" s="8" t="s">
        <v>11</v>
      </c>
      <c r="C18" s="12" t="s">
        <v>34</v>
      </c>
      <c r="D18" s="2">
        <f t="shared" ca="1" si="2"/>
        <v>35989.536</v>
      </c>
      <c r="E18" s="3">
        <f>3120.48*12</f>
        <v>37445.760000000002</v>
      </c>
      <c r="F18" s="4">
        <v>42917</v>
      </c>
      <c r="G18" s="11">
        <v>44561</v>
      </c>
      <c r="H18" s="4">
        <f t="shared" ca="1" si="0"/>
        <v>44211</v>
      </c>
      <c r="I18" s="33">
        <f t="shared" ca="1" si="3"/>
        <v>11</v>
      </c>
      <c r="J18" s="5">
        <f t="shared" ca="1" si="4"/>
        <v>16</v>
      </c>
      <c r="K18" s="6">
        <f>E18/12</f>
        <v>3120.48</v>
      </c>
      <c r="L18" s="6">
        <f t="shared" si="1"/>
        <v>104.01600000000001</v>
      </c>
    </row>
    <row r="19" spans="1:13" ht="17.25" customHeight="1" x14ac:dyDescent="0.25">
      <c r="A19" s="23" t="s">
        <v>7</v>
      </c>
      <c r="B19" s="8" t="s">
        <v>12</v>
      </c>
      <c r="C19" s="34" t="s">
        <v>29</v>
      </c>
      <c r="D19" s="2">
        <f t="shared" ca="1" si="2"/>
        <v>1196957.68</v>
      </c>
      <c r="E19" s="3">
        <f>89325.2*12</f>
        <v>1071902.3999999999</v>
      </c>
      <c r="F19" s="4">
        <v>42794</v>
      </c>
      <c r="G19" s="11">
        <v>44619</v>
      </c>
      <c r="H19" s="4">
        <f t="shared" ca="1" si="0"/>
        <v>44211</v>
      </c>
      <c r="I19" s="10">
        <f t="shared" ca="1" si="3"/>
        <v>13</v>
      </c>
      <c r="J19" s="5">
        <f t="shared" ca="1" si="4"/>
        <v>12</v>
      </c>
      <c r="K19" s="6">
        <v>89325.2</v>
      </c>
      <c r="L19" s="6">
        <f t="shared" si="1"/>
        <v>2977.5066666666667</v>
      </c>
      <c r="M19" s="7" t="s">
        <v>85</v>
      </c>
    </row>
    <row r="20" spans="1:13" ht="17.25" customHeight="1" x14ac:dyDescent="0.25">
      <c r="A20" s="23" t="s">
        <v>8</v>
      </c>
      <c r="B20" s="8" t="s">
        <v>13</v>
      </c>
      <c r="C20" s="12" t="s">
        <v>34</v>
      </c>
      <c r="D20" s="2">
        <f t="shared" ca="1" si="2"/>
        <v>257658.45666666664</v>
      </c>
      <c r="E20" s="3">
        <f>34202.45*12</f>
        <v>410429.39999999997</v>
      </c>
      <c r="F20" s="4">
        <v>42613</v>
      </c>
      <c r="G20" s="11">
        <v>44439</v>
      </c>
      <c r="H20" s="4">
        <f t="shared" ca="1" si="0"/>
        <v>44211</v>
      </c>
      <c r="I20" s="35">
        <f t="shared" ca="1" si="3"/>
        <v>7</v>
      </c>
      <c r="J20" s="5">
        <f t="shared" ca="1" si="4"/>
        <v>16</v>
      </c>
      <c r="K20" s="6">
        <f>E20/12</f>
        <v>34202.449999999997</v>
      </c>
      <c r="L20" s="6">
        <f t="shared" si="1"/>
        <v>1140.0816666666665</v>
      </c>
    </row>
    <row r="21" spans="1:13" ht="17.25" customHeight="1" x14ac:dyDescent="0.25">
      <c r="A21" s="23" t="s">
        <v>54</v>
      </c>
      <c r="B21" s="8" t="s">
        <v>11</v>
      </c>
      <c r="C21" s="12" t="s">
        <v>55</v>
      </c>
      <c r="D21" s="2">
        <f ca="1">(K21*I21)+(L21*J21)</f>
        <v>377064.87</v>
      </c>
      <c r="E21" s="3">
        <f>35910.94*12</f>
        <v>430931.28</v>
      </c>
      <c r="F21" s="4">
        <v>43070</v>
      </c>
      <c r="G21" s="11">
        <v>44530</v>
      </c>
      <c r="H21" s="4">
        <f t="shared" ca="1" si="0"/>
        <v>44211</v>
      </c>
      <c r="I21" s="10">
        <f t="shared" ca="1" si="3"/>
        <v>10</v>
      </c>
      <c r="J21" s="5">
        <f ca="1">DATEDIF(H21,G21,"md")</f>
        <v>15</v>
      </c>
      <c r="K21" s="6">
        <v>35910.94</v>
      </c>
      <c r="L21" s="6">
        <f>K21/30</f>
        <v>1197.0313333333334</v>
      </c>
    </row>
    <row r="22" spans="1:13" ht="17.25" customHeight="1" x14ac:dyDescent="0.25">
      <c r="A22" s="23" t="s">
        <v>63</v>
      </c>
      <c r="B22" s="8" t="s">
        <v>11</v>
      </c>
      <c r="C22" s="12" t="s">
        <v>71</v>
      </c>
      <c r="D22" s="2">
        <f ca="1">(K22*I22)+(L22*J22)</f>
        <v>7331.8553333333339</v>
      </c>
      <c r="E22" s="3">
        <f>635.71*12</f>
        <v>7628.52</v>
      </c>
      <c r="F22" s="4">
        <v>43013</v>
      </c>
      <c r="G22" s="11">
        <v>44561</v>
      </c>
      <c r="H22" s="4">
        <f t="shared" ca="1" si="0"/>
        <v>44211</v>
      </c>
      <c r="I22" s="10">
        <f ca="1">DATEDIF(H22,G22,"m")</f>
        <v>11</v>
      </c>
      <c r="J22" s="5">
        <f ca="1">DATEDIF(H22,G22,"md")</f>
        <v>16</v>
      </c>
      <c r="K22" s="6">
        <v>635.71</v>
      </c>
      <c r="L22" s="6">
        <f>K22/30</f>
        <v>21.190333333333335</v>
      </c>
    </row>
    <row r="23" spans="1:13" ht="17.25" customHeight="1" x14ac:dyDescent="0.25">
      <c r="A23" s="23" t="s">
        <v>2</v>
      </c>
      <c r="B23" s="8" t="s">
        <v>19</v>
      </c>
      <c r="C23" s="12" t="s">
        <v>33</v>
      </c>
      <c r="D23" s="2">
        <f ca="1">(K23*I23)+(L23*J23)</f>
        <v>14990.459333333332</v>
      </c>
      <c r="E23" s="3">
        <f>5229.23*12</f>
        <v>62750.759999999995</v>
      </c>
      <c r="F23" s="4">
        <v>42380</v>
      </c>
      <c r="G23" s="11">
        <v>44296</v>
      </c>
      <c r="H23" s="4">
        <f t="shared" ca="1" si="0"/>
        <v>44211</v>
      </c>
      <c r="I23" s="32">
        <f t="shared" ca="1" si="3"/>
        <v>2</v>
      </c>
      <c r="J23" s="5">
        <f t="shared" ca="1" si="4"/>
        <v>26</v>
      </c>
      <c r="K23" s="29">
        <v>5229.2299999999996</v>
      </c>
      <c r="L23" s="6">
        <f t="shared" si="1"/>
        <v>174.30766666666665</v>
      </c>
      <c r="M23" s="7" t="s">
        <v>83</v>
      </c>
    </row>
    <row r="24" spans="1:13" ht="17.25" customHeight="1" x14ac:dyDescent="0.25">
      <c r="A24" s="23" t="s">
        <v>3</v>
      </c>
      <c r="B24" s="8" t="s">
        <v>12</v>
      </c>
      <c r="C24" s="13" t="s">
        <v>72</v>
      </c>
      <c r="D24" s="2">
        <f ca="1">(K24*I24)+(L24*J24)</f>
        <v>1790.4160000000002</v>
      </c>
      <c r="E24" s="3">
        <f>3357.03*12</f>
        <v>40284.36</v>
      </c>
      <c r="F24" s="4">
        <v>42401</v>
      </c>
      <c r="G24" s="11">
        <v>44227</v>
      </c>
      <c r="H24" s="4">
        <f t="shared" ca="1" si="0"/>
        <v>44211</v>
      </c>
      <c r="I24" s="32">
        <f t="shared" ca="1" si="3"/>
        <v>0</v>
      </c>
      <c r="J24" s="5">
        <f t="shared" ca="1" si="4"/>
        <v>16</v>
      </c>
      <c r="K24" s="29">
        <v>3357.03</v>
      </c>
      <c r="L24" s="6">
        <f t="shared" si="1"/>
        <v>111.90100000000001</v>
      </c>
      <c r="M24" s="7" t="s">
        <v>83</v>
      </c>
    </row>
    <row r="25" spans="1:13" ht="17.25" customHeight="1" x14ac:dyDescent="0.25">
      <c r="A25" s="23" t="s">
        <v>9</v>
      </c>
      <c r="B25" s="8" t="s">
        <v>14</v>
      </c>
      <c r="C25" s="8" t="s">
        <v>35</v>
      </c>
      <c r="D25" s="2">
        <f t="shared" ca="1" si="2"/>
        <v>167214.88</v>
      </c>
      <c r="E25" s="3">
        <f>14498.4*12</f>
        <v>173980.79999999999</v>
      </c>
      <c r="F25" s="4">
        <v>42736</v>
      </c>
      <c r="G25" s="11">
        <v>44561</v>
      </c>
      <c r="H25" s="4">
        <f t="shared" ca="1" si="0"/>
        <v>44211</v>
      </c>
      <c r="I25" s="10">
        <f t="shared" ca="1" si="3"/>
        <v>11</v>
      </c>
      <c r="J25" s="5">
        <f t="shared" ca="1" si="4"/>
        <v>16</v>
      </c>
      <c r="K25" s="29">
        <v>14498.4</v>
      </c>
      <c r="L25" s="6">
        <f t="shared" si="1"/>
        <v>483.28</v>
      </c>
    </row>
    <row r="26" spans="1:13" ht="17.25" customHeight="1" x14ac:dyDescent="0.25">
      <c r="A26" s="23" t="s">
        <v>15</v>
      </c>
      <c r="B26" s="8" t="s">
        <v>11</v>
      </c>
      <c r="C26" s="9" t="s">
        <v>36</v>
      </c>
      <c r="D26" s="2">
        <f t="shared" ca="1" si="2"/>
        <v>100086.36000000002</v>
      </c>
      <c r="E26" s="3">
        <f>8271.6*12</f>
        <v>99259.200000000012</v>
      </c>
      <c r="F26" s="4">
        <v>42754</v>
      </c>
      <c r="G26" s="11">
        <v>44579</v>
      </c>
      <c r="H26" s="4">
        <f t="shared" ca="1" si="0"/>
        <v>44211</v>
      </c>
      <c r="I26" s="10">
        <f t="shared" ca="1" si="3"/>
        <v>12</v>
      </c>
      <c r="J26" s="5">
        <f t="shared" ca="1" si="4"/>
        <v>3</v>
      </c>
      <c r="K26" s="29">
        <v>8271.6</v>
      </c>
      <c r="L26" s="6">
        <f t="shared" si="1"/>
        <v>275.72000000000003</v>
      </c>
    </row>
    <row r="27" spans="1:13" ht="17.25" customHeight="1" x14ac:dyDescent="0.25">
      <c r="A27" s="23" t="s">
        <v>15</v>
      </c>
      <c r="B27" s="8" t="s">
        <v>12</v>
      </c>
      <c r="C27" s="1" t="s">
        <v>37</v>
      </c>
      <c r="D27" s="2">
        <f t="shared" ca="1" si="2"/>
        <v>83842.110000000015</v>
      </c>
      <c r="E27" s="3">
        <f>6929.1*12</f>
        <v>83149.200000000012</v>
      </c>
      <c r="F27" s="4">
        <v>42754</v>
      </c>
      <c r="G27" s="11">
        <v>44579</v>
      </c>
      <c r="H27" s="4">
        <f t="shared" ca="1" si="0"/>
        <v>44211</v>
      </c>
      <c r="I27" s="10">
        <f t="shared" ca="1" si="3"/>
        <v>12</v>
      </c>
      <c r="J27" s="5">
        <f t="shared" ca="1" si="4"/>
        <v>3</v>
      </c>
      <c r="K27" s="29">
        <v>6929.1</v>
      </c>
      <c r="L27" s="6">
        <f t="shared" si="1"/>
        <v>230.97</v>
      </c>
    </row>
    <row r="28" spans="1:13" ht="17.25" customHeight="1" x14ac:dyDescent="0.25">
      <c r="A28" s="23" t="s">
        <v>16</v>
      </c>
      <c r="B28" s="8" t="s">
        <v>12</v>
      </c>
      <c r="C28" s="1" t="s">
        <v>38</v>
      </c>
      <c r="D28" s="2">
        <f t="shared" ca="1" si="2"/>
        <v>10232.882000000001</v>
      </c>
      <c r="E28" s="3">
        <f>3569.61*12</f>
        <v>42835.32</v>
      </c>
      <c r="F28" s="4">
        <v>42471</v>
      </c>
      <c r="G28" s="11">
        <v>44296</v>
      </c>
      <c r="H28" s="4">
        <f t="shared" ca="1" si="0"/>
        <v>44211</v>
      </c>
      <c r="I28" s="32">
        <f t="shared" ca="1" si="3"/>
        <v>2</v>
      </c>
      <c r="J28" s="5">
        <f t="shared" ca="1" si="4"/>
        <v>26</v>
      </c>
      <c r="K28" s="29">
        <v>3569.61</v>
      </c>
      <c r="L28" s="6">
        <f t="shared" si="1"/>
        <v>118.98700000000001</v>
      </c>
      <c r="M28" s="7" t="s">
        <v>83</v>
      </c>
    </row>
    <row r="29" spans="1:13" ht="17.25" customHeight="1" x14ac:dyDescent="0.25">
      <c r="A29" s="23" t="s">
        <v>17</v>
      </c>
      <c r="B29" s="8" t="s">
        <v>11</v>
      </c>
      <c r="C29" s="1" t="s">
        <v>39</v>
      </c>
      <c r="D29" s="2">
        <f t="shared" ca="1" si="2"/>
        <v>31436.65</v>
      </c>
      <c r="E29" s="3">
        <f>5389.14*12</f>
        <v>64669.680000000008</v>
      </c>
      <c r="F29" s="4">
        <v>42562</v>
      </c>
      <c r="G29" s="11">
        <v>44387</v>
      </c>
      <c r="H29" s="4">
        <f t="shared" ca="1" si="0"/>
        <v>44211</v>
      </c>
      <c r="I29" s="5">
        <f t="shared" ca="1" si="3"/>
        <v>5</v>
      </c>
      <c r="J29" s="5">
        <f t="shared" ca="1" si="4"/>
        <v>25</v>
      </c>
      <c r="K29" s="6">
        <v>5389.14</v>
      </c>
      <c r="L29" s="6">
        <f t="shared" si="1"/>
        <v>179.63800000000001</v>
      </c>
    </row>
    <row r="30" spans="1:13" ht="17.25" customHeight="1" x14ac:dyDescent="0.25">
      <c r="A30" s="23" t="s">
        <v>18</v>
      </c>
      <c r="B30" s="8" t="s">
        <v>12</v>
      </c>
      <c r="C30" s="1" t="s">
        <v>40</v>
      </c>
      <c r="D30" s="2">
        <f t="shared" ca="1" si="2"/>
        <v>58920.271999999997</v>
      </c>
      <c r="E30" s="3">
        <f>5292.24*12</f>
        <v>63506.879999999997</v>
      </c>
      <c r="F30" s="4">
        <v>42724</v>
      </c>
      <c r="G30" s="11">
        <v>44549</v>
      </c>
      <c r="H30" s="4">
        <f t="shared" ca="1" si="0"/>
        <v>44211</v>
      </c>
      <c r="I30" s="5">
        <f t="shared" ca="1" si="3"/>
        <v>11</v>
      </c>
      <c r="J30" s="5">
        <f t="shared" ca="1" si="4"/>
        <v>4</v>
      </c>
      <c r="K30" s="29">
        <v>5292.24</v>
      </c>
      <c r="L30" s="6">
        <f t="shared" si="1"/>
        <v>176.40799999999999</v>
      </c>
    </row>
    <row r="31" spans="1:13" ht="17.25" customHeight="1" x14ac:dyDescent="0.25">
      <c r="A31" s="36" t="s">
        <v>50</v>
      </c>
      <c r="B31" s="1" t="s">
        <v>12</v>
      </c>
      <c r="C31" s="1" t="s">
        <v>53</v>
      </c>
      <c r="D31" s="2">
        <f t="shared" ca="1" si="2"/>
        <v>31529.37166666667</v>
      </c>
      <c r="E31" s="3">
        <f>2679.55*12</f>
        <v>32154.600000000002</v>
      </c>
      <c r="F31" s="4">
        <v>43108</v>
      </c>
      <c r="G31" s="11">
        <v>44568</v>
      </c>
      <c r="H31" s="4">
        <f t="shared" ca="1" si="0"/>
        <v>44211</v>
      </c>
      <c r="I31" s="10">
        <f t="shared" ca="1" si="3"/>
        <v>11</v>
      </c>
      <c r="J31" s="5">
        <f ca="1">DATEDIF(H31,G31,"md")</f>
        <v>23</v>
      </c>
      <c r="K31" s="29">
        <v>2679.55</v>
      </c>
      <c r="L31" s="6">
        <f>K31/30</f>
        <v>89.318333333333342</v>
      </c>
    </row>
    <row r="32" spans="1:13" ht="17.25" customHeight="1" x14ac:dyDescent="0.25">
      <c r="A32" s="36" t="s">
        <v>51</v>
      </c>
      <c r="B32" s="1" t="s">
        <v>12</v>
      </c>
      <c r="C32" s="1" t="s">
        <v>52</v>
      </c>
      <c r="D32" s="2">
        <f t="shared" ca="1" si="2"/>
        <v>65620.81733333334</v>
      </c>
      <c r="E32" s="3">
        <f>5576.84*12</f>
        <v>66922.080000000002</v>
      </c>
      <c r="F32" s="4">
        <v>43108</v>
      </c>
      <c r="G32" s="11">
        <v>44568</v>
      </c>
      <c r="H32" s="4">
        <f t="shared" ca="1" si="0"/>
        <v>44211</v>
      </c>
      <c r="I32" s="10">
        <f t="shared" ca="1" si="3"/>
        <v>11</v>
      </c>
      <c r="J32" s="5">
        <f ca="1">DATEDIF(H32,G32,"md")</f>
        <v>23</v>
      </c>
      <c r="K32" s="29">
        <v>5576.84</v>
      </c>
      <c r="L32" s="6">
        <f>K32/30</f>
        <v>185.89466666666667</v>
      </c>
    </row>
    <row r="33" spans="1:13" ht="17.25" customHeight="1" thickBot="1" x14ac:dyDescent="0.3">
      <c r="A33" s="37" t="s">
        <v>64</v>
      </c>
      <c r="B33" s="38" t="s">
        <v>11</v>
      </c>
      <c r="C33" s="38" t="s">
        <v>70</v>
      </c>
      <c r="D33" s="2">
        <f ca="1">(K33*I33)+(L33*J33)</f>
        <v>40148.801999999996</v>
      </c>
      <c r="E33" s="39">
        <f>3481.11*12</f>
        <v>41773.32</v>
      </c>
      <c r="F33" s="40">
        <v>43467</v>
      </c>
      <c r="G33" s="11">
        <v>44561</v>
      </c>
      <c r="H33" s="4">
        <f t="shared" ca="1" si="0"/>
        <v>44211</v>
      </c>
      <c r="I33" s="10">
        <f t="shared" ca="1" si="3"/>
        <v>11</v>
      </c>
      <c r="J33" s="5">
        <f t="shared" ca="1" si="4"/>
        <v>16</v>
      </c>
      <c r="K33" s="6">
        <v>3481.11</v>
      </c>
      <c r="L33" s="6">
        <f t="shared" si="1"/>
        <v>116.03700000000001</v>
      </c>
    </row>
    <row r="34" spans="1:13" ht="17.25" customHeight="1" thickBot="1" x14ac:dyDescent="0.3">
      <c r="A34" s="37" t="s">
        <v>73</v>
      </c>
      <c r="B34" s="38" t="s">
        <v>11</v>
      </c>
      <c r="C34" s="38" t="s">
        <v>74</v>
      </c>
      <c r="D34" s="41">
        <f ca="1">(K34*I34)+(L34*J34)</f>
        <v>493352.04599999997</v>
      </c>
      <c r="E34" s="42">
        <f>58966.38*12</f>
        <v>707596.55999999994</v>
      </c>
      <c r="F34" s="43">
        <v>42639</v>
      </c>
      <c r="G34" s="70">
        <v>44465</v>
      </c>
      <c r="H34" s="43">
        <f t="shared" ca="1" si="0"/>
        <v>44211</v>
      </c>
      <c r="I34" s="10">
        <f ca="1">DATEDIF(H34,G34,"m")</f>
        <v>8</v>
      </c>
      <c r="J34" s="5">
        <f ca="1">DATEDIF(H34,G34,"md")</f>
        <v>11</v>
      </c>
      <c r="K34" s="6">
        <v>58966.38</v>
      </c>
      <c r="L34" s="6">
        <f>K34/30</f>
        <v>1965.5459999999998</v>
      </c>
    </row>
    <row r="35" spans="1:13" ht="17.25" customHeight="1" thickBot="1" x14ac:dyDescent="0.3">
      <c r="A35" s="44" t="s">
        <v>81</v>
      </c>
      <c r="B35" s="45" t="s">
        <v>80</v>
      </c>
      <c r="C35" s="46" t="s">
        <v>82</v>
      </c>
      <c r="D35" s="47">
        <f ca="1">(K35*I35)+(L35*J35)</f>
        <v>916877.98</v>
      </c>
      <c r="E35" s="39">
        <f>239185.56*6</f>
        <v>1435113.3599999999</v>
      </c>
      <c r="F35" s="40">
        <v>44147</v>
      </c>
      <c r="G35" s="71">
        <v>44326</v>
      </c>
      <c r="H35" s="40">
        <f t="shared" ca="1" si="0"/>
        <v>44211</v>
      </c>
      <c r="I35" s="10">
        <f ca="1">DATEDIF(H35,G35,"m")</f>
        <v>3</v>
      </c>
      <c r="J35" s="5">
        <f ca="1">DATEDIF(H35,G35,"md")</f>
        <v>25</v>
      </c>
      <c r="K35" s="6">
        <v>239185.56</v>
      </c>
      <c r="L35" s="6">
        <f>K35/30</f>
        <v>7972.8519999999999</v>
      </c>
    </row>
    <row r="36" spans="1:13" ht="20.25" customHeight="1" thickBot="1" x14ac:dyDescent="0.3">
      <c r="A36" s="75" t="s">
        <v>1</v>
      </c>
      <c r="B36" s="76"/>
      <c r="C36" s="77"/>
      <c r="D36" s="48">
        <f ca="1">SUM(D10:D35)</f>
        <v>4430214.0966666657</v>
      </c>
      <c r="E36" s="49"/>
      <c r="K36" s="6">
        <f>SUM(K10:K35)</f>
        <v>613192.09</v>
      </c>
      <c r="M36" s="50">
        <f>SUM(E10:E35)</f>
        <v>5923191.7199999988</v>
      </c>
    </row>
    <row r="37" spans="1:13" ht="20.25" customHeight="1" thickBot="1" x14ac:dyDescent="0.3">
      <c r="A37" s="75" t="s">
        <v>41</v>
      </c>
      <c r="B37" s="76"/>
      <c r="C37" s="77"/>
      <c r="D37" s="51">
        <v>662592.43000000005</v>
      </c>
      <c r="E37" s="50"/>
      <c r="K37" s="52">
        <f>SUM(K10:K34)*12</f>
        <v>4488078.3599999994</v>
      </c>
      <c r="M37" s="53">
        <f>M36-K39</f>
        <v>0</v>
      </c>
    </row>
    <row r="38" spans="1:13" ht="20.25" customHeight="1" thickBot="1" x14ac:dyDescent="0.3">
      <c r="A38" s="75" t="s">
        <v>42</v>
      </c>
      <c r="B38" s="76"/>
      <c r="C38" s="77"/>
      <c r="D38" s="54">
        <f ca="1">D36/12</f>
        <v>369184.50805555546</v>
      </c>
      <c r="K38" s="50">
        <f>K35*6</f>
        <v>1435113.3599999999</v>
      </c>
    </row>
    <row r="39" spans="1:13" ht="48" customHeight="1" x14ac:dyDescent="0.25">
      <c r="D39" s="55"/>
      <c r="E39" s="56"/>
      <c r="K39" s="53">
        <f>K37+K38</f>
        <v>5923191.7199999988</v>
      </c>
    </row>
    <row r="40" spans="1:13" ht="17.25" thickBot="1" x14ac:dyDescent="0.3">
      <c r="A40" s="57" t="s">
        <v>45</v>
      </c>
    </row>
    <row r="41" spans="1:13" x14ac:dyDescent="0.25">
      <c r="A41" s="80" t="s">
        <v>44</v>
      </c>
      <c r="B41" s="81"/>
      <c r="G41" s="72"/>
    </row>
    <row r="42" spans="1:13" x14ac:dyDescent="0.25">
      <c r="A42" s="58" t="s">
        <v>77</v>
      </c>
      <c r="B42" s="78">
        <f ca="1">(D37*12)/D36</f>
        <v>1.7947460295389535</v>
      </c>
    </row>
    <row r="43" spans="1:13" ht="17.25" thickBot="1" x14ac:dyDescent="0.3">
      <c r="A43" s="59">
        <f ca="1">D36</f>
        <v>4430214.0966666657</v>
      </c>
      <c r="B43" s="79"/>
    </row>
    <row r="45" spans="1:13" ht="17.25" thickBot="1" x14ac:dyDescent="0.3">
      <c r="A45" s="57" t="s">
        <v>46</v>
      </c>
    </row>
    <row r="46" spans="1:13" x14ac:dyDescent="0.25">
      <c r="A46" s="80" t="s">
        <v>47</v>
      </c>
      <c r="B46" s="81"/>
    </row>
    <row r="47" spans="1:13" x14ac:dyDescent="0.25">
      <c r="A47" s="58" t="s">
        <v>78</v>
      </c>
      <c r="B47" s="82">
        <f ca="1">(A48-D36)/A48</f>
        <v>0.18373970432901537</v>
      </c>
    </row>
    <row r="48" spans="1:13" ht="17.25" thickBot="1" x14ac:dyDescent="0.3">
      <c r="A48" s="59">
        <v>5427452.6399999997</v>
      </c>
      <c r="B48" s="83"/>
    </row>
    <row r="50" spans="1:8" x14ac:dyDescent="0.25">
      <c r="A50" s="57" t="s">
        <v>48</v>
      </c>
    </row>
    <row r="51" spans="1:8" ht="47.45" customHeight="1" x14ac:dyDescent="0.25">
      <c r="A51" s="74" t="s">
        <v>79</v>
      </c>
      <c r="B51" s="74"/>
      <c r="C51" s="74"/>
      <c r="D51" s="74"/>
      <c r="E51" s="74"/>
      <c r="F51" s="74"/>
      <c r="G51" s="74"/>
      <c r="H51" s="60"/>
    </row>
    <row r="55" spans="1:8" x14ac:dyDescent="0.2">
      <c r="A55" s="61" t="s">
        <v>86</v>
      </c>
      <c r="B55" s="62"/>
      <c r="C55" s="62"/>
      <c r="D55" s="63"/>
      <c r="E55" s="62"/>
      <c r="F55" s="62"/>
    </row>
    <row r="56" spans="1:8" x14ac:dyDescent="0.2">
      <c r="A56" s="62"/>
      <c r="B56" s="62"/>
      <c r="C56" s="62"/>
      <c r="D56" s="62"/>
      <c r="E56" s="62"/>
      <c r="F56" s="62"/>
    </row>
    <row r="57" spans="1:8" x14ac:dyDescent="0.2">
      <c r="A57" s="64"/>
      <c r="B57" s="64"/>
      <c r="C57" s="64"/>
      <c r="D57" s="64"/>
      <c r="E57" s="64"/>
      <c r="F57" s="64"/>
    </row>
    <row r="58" spans="1:8" x14ac:dyDescent="0.2">
      <c r="A58" s="65"/>
      <c r="B58" s="64"/>
      <c r="C58" s="64"/>
      <c r="D58" s="64"/>
      <c r="E58" s="64"/>
      <c r="F58" s="64"/>
    </row>
    <row r="59" spans="1:8" x14ac:dyDescent="0.2">
      <c r="A59" s="65"/>
      <c r="B59" s="64"/>
      <c r="C59" s="64"/>
      <c r="D59" s="64"/>
      <c r="E59" s="64"/>
      <c r="F59" s="64"/>
    </row>
    <row r="60" spans="1:8" x14ac:dyDescent="0.25">
      <c r="A60" s="66"/>
      <c r="B60" s="64"/>
      <c r="C60" s="64"/>
      <c r="D60" s="64"/>
      <c r="E60" s="64"/>
      <c r="F60" s="64"/>
    </row>
    <row r="61" spans="1:8" x14ac:dyDescent="0.2">
      <c r="A61" s="67"/>
      <c r="B61" s="64"/>
      <c r="C61" s="64"/>
      <c r="D61" s="64"/>
      <c r="E61" s="64"/>
      <c r="F61" s="64"/>
    </row>
    <row r="62" spans="1:8" x14ac:dyDescent="0.2">
      <c r="A62" s="64"/>
      <c r="B62" s="64"/>
      <c r="C62" s="64"/>
      <c r="D62" s="64"/>
      <c r="E62" s="64"/>
      <c r="F62" s="64"/>
    </row>
    <row r="63" spans="1:8" x14ac:dyDescent="0.2">
      <c r="A63" s="64"/>
      <c r="B63" s="64"/>
      <c r="C63" s="64"/>
      <c r="D63" s="64"/>
      <c r="E63" s="64"/>
      <c r="F63" s="64"/>
    </row>
    <row r="64" spans="1:8" x14ac:dyDescent="0.2">
      <c r="A64" s="64"/>
      <c r="B64" s="64"/>
      <c r="C64" s="64"/>
      <c r="D64" s="64"/>
      <c r="E64" s="64"/>
      <c r="F64" s="64"/>
    </row>
    <row r="65" spans="1:6" x14ac:dyDescent="0.2">
      <c r="A65" s="64"/>
      <c r="B65" s="64"/>
      <c r="C65" s="64"/>
      <c r="D65" s="64"/>
      <c r="E65" s="64"/>
      <c r="F65" s="64"/>
    </row>
  </sheetData>
  <mergeCells count="10">
    <mergeCell ref="B42:B43"/>
    <mergeCell ref="A41:B41"/>
    <mergeCell ref="A46:B46"/>
    <mergeCell ref="B47:B48"/>
    <mergeCell ref="A51:G51"/>
    <mergeCell ref="A5:G5"/>
    <mergeCell ref="A7:G7"/>
    <mergeCell ref="A36:C36"/>
    <mergeCell ref="A37:C37"/>
    <mergeCell ref="A38:C38"/>
  </mergeCells>
  <printOptions horizontalCentered="1" verticalCentered="1"/>
  <pageMargins left="3.9370078740157488E-3" right="3.9370078740157488E-3" top="0.78740157480314965" bottom="0.78740157480314965" header="0.31496062992125984" footer="0.31496062992125984"/>
  <pageSetup paperSize="9" scale="3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1-12 avos</vt:lpstr>
      <vt:lpstr>'1-12 avos'!Area_de_impressao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Antonione</cp:lastModifiedBy>
  <cp:lastPrinted>2021-01-15T14:32:53Z</cp:lastPrinted>
  <dcterms:created xsi:type="dcterms:W3CDTF">2015-12-03T17:19:51Z</dcterms:created>
  <dcterms:modified xsi:type="dcterms:W3CDTF">2021-01-15T14:33:01Z</dcterms:modified>
</cp:coreProperties>
</file>