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5 - DOCUMENTOS DAS LICITAÇÕES\2021\LICITAÇÕES\Z Refletores para iluminação\"/>
    </mc:Choice>
  </mc:AlternateContent>
  <bookViews>
    <workbookView xWindow="0" yWindow="0" windowWidth="20400" windowHeight="7560" tabRatio="500"/>
  </bookViews>
  <sheets>
    <sheet name="PROPOSTA - CUSTOS E VALORES" sheetId="1" r:id="rId1"/>
    <sheet name="BDI Serviços" sheetId="2" r:id="rId2"/>
    <sheet name="BDI Materiais" sheetId="3" r:id="rId3"/>
    <sheet name="CRONOGRAMA FÍSICIO-FINANCEIRO" sheetId="4" r:id="rId4"/>
  </sheets>
  <definedNames>
    <definedName name="_xlnm.Print_Area" localSheetId="2">'BDI Materiais'!$A$1:$D$59</definedName>
    <definedName name="_xlnm.Print_Area" localSheetId="1">'BDI Serviços'!$A$1:$D$59</definedName>
    <definedName name="_xlnm.Print_Area" localSheetId="3">'CRONOGRAMA FÍSICIO-FINANCEIRO'!$A$1:$H$24</definedName>
    <definedName name="_xlnm.Print_Area" localSheetId="0">'PROPOSTA - CUSTOS E VALORES'!$A$1:$K$76</definedName>
    <definedName name="Print_Area_0" localSheetId="2">'BDI Materiais'!$A$1:$D$62</definedName>
    <definedName name="Print_Area_0" localSheetId="1">'BDI Serviços'!$A$1:$D$62</definedName>
    <definedName name="Print_Area_0" localSheetId="0">'PROPOSTA - CUSTOS E VALORES'!$A$1:$J$76</definedName>
    <definedName name="_xlnm.Print_Titles" localSheetId="0">'PROPOSTA - CUSTOS E VALORES'!$9:$10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2" i="1" l="1"/>
  <c r="D22" i="2" l="1"/>
  <c r="B22" i="4"/>
  <c r="B21" i="4"/>
  <c r="A18" i="4"/>
  <c r="B14" i="4"/>
  <c r="B12" i="4"/>
  <c r="B11" i="4"/>
  <c r="B10" i="4"/>
  <c r="B5" i="4"/>
  <c r="B4" i="4"/>
  <c r="E3" i="4"/>
  <c r="B2" i="4"/>
  <c r="B57" i="3"/>
  <c r="B54" i="3"/>
  <c r="G49" i="3"/>
  <c r="D30" i="3"/>
  <c r="D26" i="3"/>
  <c r="B25" i="3"/>
  <c r="D22" i="3"/>
  <c r="D15" i="3"/>
  <c r="B6" i="3"/>
  <c r="B5" i="3"/>
  <c r="B4" i="3"/>
  <c r="B3" i="3"/>
  <c r="A1" i="3"/>
  <c r="B58" i="2"/>
  <c r="B58" i="3" s="1"/>
  <c r="B57" i="2"/>
  <c r="B54" i="2"/>
  <c r="G50" i="2"/>
  <c r="D30" i="2"/>
  <c r="D26" i="2"/>
  <c r="D15" i="2"/>
  <c r="B6" i="2"/>
  <c r="B5" i="2"/>
  <c r="B4" i="2"/>
  <c r="B3" i="2"/>
  <c r="K64" i="1"/>
  <c r="M58" i="1"/>
  <c r="J58" i="1"/>
  <c r="N57" i="1"/>
  <c r="N56" i="1"/>
  <c r="M55" i="1"/>
  <c r="N54" i="1"/>
  <c r="N53" i="1"/>
  <c r="M52" i="1"/>
  <c r="N49" i="1"/>
  <c r="N48" i="1"/>
  <c r="N47" i="1"/>
  <c r="N46" i="1"/>
  <c r="N43" i="1"/>
  <c r="N42" i="1"/>
  <c r="M41" i="1"/>
  <c r="N35" i="1"/>
  <c r="N32" i="1"/>
  <c r="N29" i="1"/>
  <c r="N27" i="1"/>
  <c r="N25" i="1"/>
  <c r="N24" i="1"/>
  <c r="N23" i="1"/>
  <c r="N21" i="1"/>
  <c r="N19" i="1"/>
  <c r="N18" i="1"/>
  <c r="N16" i="1"/>
  <c r="N14" i="1"/>
  <c r="M13" i="1"/>
  <c r="N12" i="1"/>
  <c r="M11" i="1"/>
  <c r="D32" i="3" l="1"/>
  <c r="K7" i="1" s="1"/>
  <c r="D32" i="2"/>
  <c r="H47" i="1" s="1"/>
  <c r="H51" i="1"/>
  <c r="I51" i="1" s="1"/>
  <c r="J51" i="1" s="1"/>
  <c r="H34" i="1"/>
  <c r="I34" i="1" s="1"/>
  <c r="J34" i="1" s="1"/>
  <c r="H54" i="1" l="1"/>
  <c r="O54" i="1" s="1"/>
  <c r="H53" i="1"/>
  <c r="I53" i="1" s="1"/>
  <c r="J53" i="1" s="1"/>
  <c r="H20" i="1"/>
  <c r="I20" i="1" s="1"/>
  <c r="J20" i="1" s="1"/>
  <c r="H48" i="1"/>
  <c r="O48" i="1" s="1"/>
  <c r="H29" i="1"/>
  <c r="I29" i="1" s="1"/>
  <c r="J29" i="1" s="1"/>
  <c r="H15" i="1"/>
  <c r="I15" i="1" s="1"/>
  <c r="J15" i="1" s="1"/>
  <c r="H18" i="1"/>
  <c r="O18" i="1" s="1"/>
  <c r="H38" i="1"/>
  <c r="I38" i="1" s="1"/>
  <c r="J38" i="1" s="1"/>
  <c r="H56" i="1"/>
  <c r="O56" i="1" s="1"/>
  <c r="H22" i="1"/>
  <c r="I22" i="1" s="1"/>
  <c r="J22" i="1" s="1"/>
  <c r="H36" i="1"/>
  <c r="I36" i="1" s="1"/>
  <c r="J36" i="1" s="1"/>
  <c r="H12" i="1"/>
  <c r="I12" i="1" s="1"/>
  <c r="J12" i="1" s="1"/>
  <c r="J11" i="1" s="1"/>
  <c r="H57" i="1"/>
  <c r="I57" i="1" s="1"/>
  <c r="J57" i="1" s="1"/>
  <c r="H31" i="1"/>
  <c r="I31" i="1" s="1"/>
  <c r="J31" i="1" s="1"/>
  <c r="H46" i="1"/>
  <c r="O46" i="1" s="1"/>
  <c r="H19" i="1"/>
  <c r="O19" i="1" s="1"/>
  <c r="H44" i="1"/>
  <c r="I44" i="1" s="1"/>
  <c r="J44" i="1" s="1"/>
  <c r="H26" i="1"/>
  <c r="I26" i="1" s="1"/>
  <c r="J26" i="1" s="1"/>
  <c r="H43" i="1"/>
  <c r="I43" i="1" s="1"/>
  <c r="J43" i="1" s="1"/>
  <c r="H24" i="1"/>
  <c r="O24" i="1" s="1"/>
  <c r="H40" i="1"/>
  <c r="I40" i="1" s="1"/>
  <c r="J40" i="1" s="1"/>
  <c r="H17" i="1"/>
  <c r="I17" i="1" s="1"/>
  <c r="J17" i="1" s="1"/>
  <c r="H25" i="1"/>
  <c r="O25" i="1" s="1"/>
  <c r="H33" i="1"/>
  <c r="I33" i="1" s="1"/>
  <c r="J33" i="1" s="1"/>
  <c r="H50" i="1"/>
  <c r="I50" i="1" s="1"/>
  <c r="J50" i="1" s="1"/>
  <c r="H21" i="1"/>
  <c r="O21" i="1" s="1"/>
  <c r="H14" i="1"/>
  <c r="I14" i="1" s="1"/>
  <c r="J14" i="1" s="1"/>
  <c r="H28" i="1"/>
  <c r="I28" i="1" s="1"/>
  <c r="J28" i="1" s="1"/>
  <c r="H45" i="1"/>
  <c r="I45" i="1" s="1"/>
  <c r="J45" i="1" s="1"/>
  <c r="H42" i="1"/>
  <c r="O42" i="1" s="1"/>
  <c r="H37" i="1"/>
  <c r="I37" i="1" s="1"/>
  <c r="J37" i="1" s="1"/>
  <c r="H32" i="1"/>
  <c r="O32" i="1" s="1"/>
  <c r="H49" i="1"/>
  <c r="H35" i="1"/>
  <c r="O35" i="1" s="1"/>
  <c r="H27" i="1"/>
  <c r="I27" i="1" s="1"/>
  <c r="J27" i="1" s="1"/>
  <c r="H39" i="1"/>
  <c r="I39" i="1" s="1"/>
  <c r="J39" i="1" s="1"/>
  <c r="H7" i="1"/>
  <c r="H23" i="1"/>
  <c r="O23" i="1" s="1"/>
  <c r="H16" i="1"/>
  <c r="O16" i="1" s="1"/>
  <c r="H30" i="1"/>
  <c r="I30" i="1" s="1"/>
  <c r="J30" i="1" s="1"/>
  <c r="O53" i="1"/>
  <c r="O47" i="1"/>
  <c r="I47" i="1"/>
  <c r="J47" i="1" s="1"/>
  <c r="I18" i="1"/>
  <c r="J18" i="1" s="1"/>
  <c r="I21" i="1"/>
  <c r="J21" i="1" s="1"/>
  <c r="I42" i="1" l="1"/>
  <c r="J42" i="1" s="1"/>
  <c r="O57" i="1"/>
  <c r="O29" i="1"/>
  <c r="I23" i="1"/>
  <c r="J23" i="1" s="1"/>
  <c r="O12" i="1"/>
  <c r="I35" i="1"/>
  <c r="J35" i="1" s="1"/>
  <c r="I32" i="1"/>
  <c r="J32" i="1" s="1"/>
  <c r="O14" i="1"/>
  <c r="O27" i="1"/>
  <c r="I54" i="1"/>
  <c r="J54" i="1" s="1"/>
  <c r="J52" i="1" s="1"/>
  <c r="H13" i="4" s="1"/>
  <c r="O43" i="1"/>
  <c r="I25" i="1"/>
  <c r="J25" i="1" s="1"/>
  <c r="I16" i="1"/>
  <c r="J16" i="1" s="1"/>
  <c r="I46" i="1"/>
  <c r="J46" i="1" s="1"/>
  <c r="J59" i="1"/>
  <c r="M59" i="1" s="1"/>
  <c r="I24" i="1"/>
  <c r="J24" i="1" s="1"/>
  <c r="I19" i="1"/>
  <c r="J19" i="1" s="1"/>
  <c r="I56" i="1"/>
  <c r="J56" i="1" s="1"/>
  <c r="J55" i="1" s="1"/>
  <c r="H14" i="4" s="1"/>
  <c r="I48" i="1"/>
  <c r="J48" i="1" s="1"/>
  <c r="O49" i="1"/>
  <c r="I49" i="1"/>
  <c r="J49" i="1" s="1"/>
  <c r="H10" i="4"/>
  <c r="J13" i="1" l="1"/>
  <c r="H11" i="4" s="1"/>
  <c r="J41" i="1"/>
  <c r="H12" i="4" s="1"/>
  <c r="J60" i="1" l="1"/>
  <c r="K63" i="1" s="1"/>
  <c r="K65" i="1" s="1"/>
  <c r="C7" i="1" l="1"/>
  <c r="E5" i="4"/>
  <c r="M60" i="1"/>
  <c r="H15" i="4"/>
</calcChain>
</file>

<file path=xl/sharedStrings.xml><?xml version="1.0" encoding="utf-8"?>
<sst xmlns="http://schemas.openxmlformats.org/spreadsheetml/2006/main" count="419" uniqueCount="256">
  <si>
    <t>PROPOSTA – ILUMINAÇÃO CÊNICA DA FACHADA DO EDIFÍCIO-SEDE</t>
  </si>
  <si>
    <t>Objeto:</t>
  </si>
  <si>
    <t>Contratação de escopo de empresa especializada para executar a obra de iluminação cênica da fachada frontal do Edifício-sede deste Egrégio Tribunal Regional do Trabalho da 3ª Região</t>
  </si>
  <si>
    <t>LOGOTIPO
DA
EMPRESA</t>
  </si>
  <si>
    <t>Órgão:</t>
  </si>
  <si>
    <t xml:space="preserve">Tribunal Regional do Trabalho da 3ª Região - TRT3ª </t>
  </si>
  <si>
    <t>Pregão Eletrônico N.º:</t>
  </si>
  <si>
    <t>Empresa:</t>
  </si>
  <si>
    <t>Endereço:</t>
  </si>
  <si>
    <t>Número telefônico:</t>
  </si>
  <si>
    <t>CNPJ:</t>
  </si>
  <si>
    <t>Data da proposta:</t>
  </si>
  <si>
    <t>Preço total proposta:</t>
  </si>
  <si>
    <t>BDI – Serviços:</t>
  </si>
  <si>
    <t>BDI – Materiais:</t>
  </si>
  <si>
    <t>ITEM</t>
  </si>
  <si>
    <t>CÓDIGO</t>
  </si>
  <si>
    <t>DESCRITIVO</t>
  </si>
  <si>
    <t>FONTE</t>
  </si>
  <si>
    <t>UNID</t>
  </si>
  <si>
    <t>QUANTIDADE</t>
  </si>
  <si>
    <t>CUSTO UNITÁRIO
R$</t>
  </si>
  <si>
    <t>BDI</t>
  </si>
  <si>
    <t>VALOR UNITÁRIO</t>
  </si>
  <si>
    <t>VALOR
TOTAL R$</t>
  </si>
  <si>
    <t>PREÇO REFERENCIAL LICITAÇÃO RS</t>
  </si>
  <si>
    <t>COM BDI</t>
  </si>
  <si>
    <t>SERVIÇOS PRELIMINARES</t>
  </si>
  <si>
    <t>1.1</t>
  </si>
  <si>
    <t>PL-1.643/2020</t>
  </si>
  <si>
    <t>EMISSÃO DE ART OU TRT DO RESPONSÁVEL TÉCNICO PELOS SERVIÇOS</t>
  </si>
  <si>
    <t>PRÓPRIA</t>
  </si>
  <si>
    <t>UN</t>
  </si>
  <si>
    <t>INFRAESTRUTURA</t>
  </si>
  <si>
    <t>2.1</t>
  </si>
  <si>
    <t>COMP ELE-0004-06/21</t>
  </si>
  <si>
    <t>CABO DMX 110Ohm ILUMINAÇÃO, 2X#0,3mm² – FORNECIMENTO E INSTALAÇÃO</t>
  </si>
  <si>
    <t>m</t>
  </si>
  <si>
    <t>2.2</t>
  </si>
  <si>
    <t>CABO DE COBRE FLEXÍVEL ISOLADO, #2,5 MM², ANTI-CHAMA 450/750 V, PARA CIRCUITOS TERMINAIS - FORNECIMENTO E INSTALAÇÃO. AF_12/2015</t>
  </si>
  <si>
    <t>SINAPI</t>
  </si>
  <si>
    <t>2.3</t>
  </si>
  <si>
    <t>CABO DE COBRE FLEXÍVEL ISOLADO, #4 MM², ANTI-CHAMA 450/750 V, PARA CIRCUITOS TERMINAIS - FORNECIMENTO E INSTALAÇÃO. AF_12/2015</t>
  </si>
  <si>
    <t>2.4</t>
  </si>
  <si>
    <t>COMP ELE-0002-06/21</t>
  </si>
  <si>
    <t>CABO DE COBRE PP 3X#2,5MM², ANTICHAMA, 450/750V – FORNECIMENTO E INSTALAÇÃO</t>
  </si>
  <si>
    <t>2.5</t>
  </si>
  <si>
    <t>COMP ELE-0001-10/20</t>
  </si>
  <si>
    <t>TOMADA DE ENERGIA ÚNICA APARENTE (SOBREPOR), 1 X 2P+T 20A, NBR 14.136, INCLUINDO SUPORTE E PLACA, CONDULETE ϕ3/4” DE ALUMÍNIO, TAMPA METÁLICA E ETIQUETAS DE IDENTIFICAÇÃO DO CIRCUITO E DA TENSÃO - FORNECIMENTO E INSTALAÇÃO</t>
  </si>
  <si>
    <t>2.6</t>
  </si>
  <si>
    <t>COMP ELE-0003-06/21</t>
  </si>
  <si>
    <t>QUADRO DE DISTRIBUIÇÃO DE ENERGIA SOBREPOSTO, PVC, PORTA ARTICULADA BRANCA, 18 POSIÇÕES, BARRAMENTOS TERRA E NEUTRO E ETIQUETAS DE IDENTIFICAÇÃO DOS CIRCUITOS – FORNECIMENTO E INSTALAÇÃO</t>
  </si>
  <si>
    <t>2.7</t>
  </si>
  <si>
    <t>DISJUNTOR MONOPOLAR TIPO DIN, CORRENTE NOMINAL DE 16A - FORNECIMENTO E INSTALAÇÃO. AF_10/2020</t>
  </si>
  <si>
    <t>2.8</t>
  </si>
  <si>
    <t>DISJUNTOR BIPOLAR TIPO DIN, CORRENTE NOMINAL DE 16A - FORNECIMENTO E INSTALAÇÃO. AF_10/2020</t>
  </si>
  <si>
    <t>2.9</t>
  </si>
  <si>
    <t>DISJUNTOR BIPOLAR TIPO NEMA, CORRENTE NOMINAL DE 10 ATÉ 50A - FORNECIMENTO E INSTALAÇÃO. AF_10/2020</t>
  </si>
  <si>
    <t>2.10</t>
  </si>
  <si>
    <t>COMP ELE-0005-06/21</t>
  </si>
  <si>
    <t>INTERRUPTOR DIFEINTERRUPTOR DIFERENCIAL RESIDUAL - DR TRIPOLAR, TIPO DIN, In 63A, I∆n 30 OU 300mA E CLASSE A - FORNECIMENTO E INSTALAÇÃO</t>
  </si>
  <si>
    <t>2.11</t>
  </si>
  <si>
    <t>COMP ELE-0007-10/20</t>
  </si>
  <si>
    <t>DPS 45kA CLASSE I/II, 127/220V E MODELO DIN – FORNECIMENTO E INSTALAÇÃO</t>
  </si>
  <si>
    <t>2.12</t>
  </si>
  <si>
    <t>COMP ELE-0009-10/21</t>
  </si>
  <si>
    <t>ELETRODUTO DN 25 MM (Ø3/4") FERRO GALVANIZADO ROSCÁVEL APARENTE, FIXADO COM ABRAÇADEIRA "D" NA PAREDE OU LAJE A CADA 1,5M, CONEXÕES(LUVA), SOBREPOR, ETIQUETA TITAGA DE IDENTIFICAÇÃO - FORNECIMENTO E INSTALAÇÃO</t>
  </si>
  <si>
    <t>2.13</t>
  </si>
  <si>
    <t>COMP ELE-0012-10/21</t>
  </si>
  <si>
    <t>ELETRODUTO DN 40 MM (Ø1.1/4") FERRO GALVANIZADO ROSCÁVEL APARENTE, FIXADO COM ABRAÇADEIRA "D" NA PAREDE A CADA 1,5M, CONEXÕES(LUVA), SOBREPOR, ETIQUETA TIPTAG DE IDENTIDADE - FORNECIMENTO E INSTALAÇÃO</t>
  </si>
  <si>
    <t>2.14</t>
  </si>
  <si>
    <t>COMP ELE-0013-06/21</t>
  </si>
  <si>
    <t>ELETRODUTO PEAD FLEXÍVEL DN 40 MM (Ø1.1/4"), COR PRETA, TIPO KANADUTO PARA CABEAMENTO SUBTERRÂNEO (NBR 15715), APLICADO ENTERRADO NO SOLO – FORNECIMENTO E INSTALAÇÃO</t>
  </si>
  <si>
    <t>2.15</t>
  </si>
  <si>
    <t>COMP ELE-0014-06/21</t>
  </si>
  <si>
    <t>CONECTOR DE ALUMÍNIO TIPO PRENSA CABO – FORNECIMENTO E INSTALAÇÃO</t>
  </si>
  <si>
    <t>2.16</t>
  </si>
  <si>
    <t>COMP ELE-0015-10/20</t>
  </si>
  <si>
    <t>CURVA 90° GRAUS PARA ELETRODUTO RÍGIDO DE FERRO GALVANIZADA A FOGO, DN 25 MM (Ø3/4"), ROSCÁVEL, COM CONEXÕES (LUVAS) - FORNECIMENTO E INSTALAÇÃO</t>
  </si>
  <si>
    <t>2.17</t>
  </si>
  <si>
    <t>COMP ELE-0016-06/21</t>
  </si>
  <si>
    <t>CURVA 45° GRAUS PARA ELETRODUTO RÍGIDO DE FERRO GALVANIZADA A FOGO, DN 25 MM (Ø3/4"), ROSCÁVEL, COM CONEXÕES (LUVAS) - FORNECIMENTO E INSTALAÇÃO</t>
  </si>
  <si>
    <t>2.18</t>
  </si>
  <si>
    <t>COMP ELE-0017-06/21</t>
  </si>
  <si>
    <t>CURVA 90° GRAUS PARA ELETRODUTO RÍGIDO DE FERRO GALVANIZADA A FOGO, DN 40 MM (Ø1.1/4"), ROSCÁVEL, COM CONEXÕES (LUVAS) - FORNECIMENTO E INSTALAÇÃO</t>
  </si>
  <si>
    <t>2.19</t>
  </si>
  <si>
    <t>COMP ELE-0018-10/20</t>
  </si>
  <si>
    <t>CONDULETE Ø3/4" COM TAMPA CEGA, MÚLTIPLO "X" MODULAR, EM LIGA DE ALUMÍNIO FUNDIDO, A PROVA DO TEMPO, COM TAMPÕES E CONEXÕES PARA 2 (DUAS) OU MAIS SAÍDAS (BUCHA E ARRUELA, BUCHA DE REDUÇÃO, ADAPTADOR CÔNICO (UNIDUT) OU EQUIVALENTES) - FORNECIMENTO E INSTALAÇÃO</t>
  </si>
  <si>
    <t>2.20</t>
  </si>
  <si>
    <t>CONDULETE DE ALUMÍNIO, TIPO T, PARA ELETRODUTO DE AÇO GALVANIZADO DN 40 MM (Ø1.1/4"), APARENTE - FORNECIMENTO E INSTALAÇÃO. AF_11/2016_P</t>
  </si>
  <si>
    <t>2.21</t>
  </si>
  <si>
    <t>COMP ELE-0020-06/21</t>
  </si>
  <si>
    <t>CAIXA DE PASSAGEM DE PISO 30X30CM, CONCRETO PRÉ-MOLDADO, IMPERMEÁVEL, FUNDO DE BRITA E TAMPA – FORNECIMENTO E INSTALAÇÃO</t>
  </si>
  <si>
    <t>2.22</t>
  </si>
  <si>
    <t>COMP ELE-0021-06/21</t>
  </si>
  <si>
    <t>PARAFUSO DE AÇO TIPO CHUMBADOR PARABOLT 3/8” X 75 MM, APLICAÇÃO DE SELANTE DE POLIURETANO NO FURO (SIKAFLEX) – FORNECIMENTO E INSTALAÇÃO</t>
  </si>
  <si>
    <t>2.23</t>
  </si>
  <si>
    <t>COMP ELE-0022-06/21</t>
  </si>
  <si>
    <t>POSTE CILÍNDRICO DE FERRO GALVANIZADO Ø3” X 4,5M, COM BASE INFERIOR FLANGEADA, SUPORTE “H” NO TOPO E PINTADO NA COR PRETA – FORNECIMENTO E INSTALAÇÃO</t>
  </si>
  <si>
    <t>2.24</t>
  </si>
  <si>
    <t>COMP ELE-0023-06/21</t>
  </si>
  <si>
    <t>BASE DE CONCRETO ARMADO 40X40X40CM PARA POSTE, 5CM DE RECOBRIMENTO DA ARMADURA (TELA), CHUMBADOR TIPO PARABOLT PARA FIXAÇÃO DA BASE DO POSTE</t>
  </si>
  <si>
    <t>2.25</t>
  </si>
  <si>
    <t>COMP ELE-0024-06/21</t>
  </si>
  <si>
    <t>CONECTOR XLR CANON MACHO/FÊMEA E TERMINAL DE CARGA 120 Ohm – FORNECIMENTO E INSTALAÇÃO</t>
  </si>
  <si>
    <t>2.26</t>
  </si>
  <si>
    <t>S08006</t>
  </si>
  <si>
    <t>Terminal de compressão para cabo de #2,50 mm² - fornecimento e instalação</t>
  </si>
  <si>
    <t>ORSE</t>
  </si>
  <si>
    <t>2.27</t>
  </si>
  <si>
    <t>S08007</t>
  </si>
  <si>
    <t>Terminal de compressão para cabo de 4 mm² - fornecimento e instalação</t>
  </si>
  <si>
    <t>SERVIÇOS COMPLEMENTARES</t>
  </si>
  <si>
    <t>3.1</t>
  </si>
  <si>
    <t>RASGO EM ALVENARIA PARA ELETRODUTOS COM DIAMETROS MENORES OU IGUAIS A 40 MM. AF_05/2015</t>
  </si>
  <si>
    <t>3.2</t>
  </si>
  <si>
    <t>C 90466.1</t>
  </si>
  <si>
    <t>CHUMBAMENTO LINEAR EM ALVENARIA PARA ELETRODUTO COM DIÂMETROS MENORES OU IGUAIS A 40 MM. AF_05/2015</t>
  </si>
  <si>
    <t>3.3</t>
  </si>
  <si>
    <t>ESCAVAÇÃO MANUAL DE VALA COM PROFUNDIDADE MENOR OU IGUAL A 1,30 M. AF_02/2021</t>
  </si>
  <si>
    <t>m³</t>
  </si>
  <si>
    <t>3.4</t>
  </si>
  <si>
    <t>REATERRO MANUAL APILOADO COM SOQUETE. AF_10/2017</t>
  </si>
  <si>
    <t>3.5</t>
  </si>
  <si>
    <t>ED-50732</t>
  </si>
  <si>
    <t>EMBOÇO COM ARGAMASSA, TRAÇO 1:6 (CIMENTO E AREIA), ESP. 20MM, APLICAÇÃO MANUAL, PREPARO MECÂNICO</t>
  </si>
  <si>
    <t>SETOP</t>
  </si>
  <si>
    <t>m²</t>
  </si>
  <si>
    <t>3.6</t>
  </si>
  <si>
    <t>APLICAÇÃO E LIXAMENTO DE MASSA LÁTEX EM TETO, UMA DEMÃO. AF_06/2014</t>
  </si>
  <si>
    <t>3.7</t>
  </si>
  <si>
    <t>APLICAÇÃO DE FUNDO SELADOR ACRÍLICO EM PAREDES, UMA DEMÃO. AF_06/2014</t>
  </si>
  <si>
    <t>3.8</t>
  </si>
  <si>
    <t>APLICAÇÃO MANUAL DE PINTURA COM TINTA LÁTEX ACRÍLICA EM PAREDES, DUAS DEMÃOS. AF_06/2014</t>
  </si>
  <si>
    <t>3.9</t>
  </si>
  <si>
    <t>FURO EM ALVENARIA PARA DIÂMETROS MENORES OU IGUAIS A 40 MM. AF_05/2015</t>
  </si>
  <si>
    <t>3.10</t>
  </si>
  <si>
    <t>COMP ELE-0010-06/21</t>
  </si>
  <si>
    <t>APLICAÇÃO DE ESPUMA EXPANSIVA DE POLIURETANO NAS SAÍDAS DOS ELETRODUTOS - EMBALAGEM 500mL</t>
  </si>
  <si>
    <t>4.1</t>
  </si>
  <si>
    <t>INS COT-ELE-0004</t>
  </si>
  <si>
    <t>4.2</t>
  </si>
  <si>
    <t>INS COT-ELE-0005</t>
  </si>
  <si>
    <t>INSTALAÇÃO E COMISSIONAMENTO</t>
  </si>
  <si>
    <t>5.1</t>
  </si>
  <si>
    <t>COMP-06/21-25</t>
  </si>
  <si>
    <t>INSTALAÇÃO DOS EQUIPAMENTOS</t>
  </si>
  <si>
    <t>5.2</t>
  </si>
  <si>
    <t>COMP-06/21-26</t>
  </si>
  <si>
    <t>COMISSIONAMENTO DO SISTEMA E TREINAMENTO OPERACIONAL</t>
  </si>
  <si>
    <t>OBSERVAÇÃO: Preencher as células em AMARELO. O valor de custo do item 1.1 não deve ser alterado, apenas o BDI (ver composições dos BDIs nas demais abas).</t>
  </si>
  <si>
    <t xml:space="preserve">CUSTO GLOBAL DA PROPOSTA (R$): </t>
  </si>
  <si>
    <t xml:space="preserve">VALOR BDI DA PROPOSTA  (R$): </t>
  </si>
  <si>
    <t xml:space="preserve">PREÇO GLOBAL DA PROPOSTA (R$): </t>
  </si>
  <si>
    <t>CÁLCULO DO DESCONTO DA LICITAÇÃO</t>
  </si>
  <si>
    <t>VALOR GLOBAL DA PROPOSTA, EXCLUINDO O SUBITEM 1.1 (R$):</t>
  </si>
  <si>
    <t>PREÇO GLOBAL REFERENCIAL, EXCLUINDO O SUBITEM 1.1 (R$):</t>
  </si>
  <si>
    <t>DESCONTO % LÍQUIDO DA LICITAÇÃO:</t>
  </si>
  <si>
    <t xml:space="preserve">                                      Belo Horizonte - MG, ____ de _______________ de 2021.</t>
  </si>
  <si>
    <t>___________________________</t>
  </si>
  <si>
    <t>NOME E ASSINATURA DO PROPONENTE</t>
  </si>
  <si>
    <t>NOME DA EMPRESA</t>
  </si>
  <si>
    <t xml:space="preserve"> ILUMINAÇÃO CÊNICA DA FACHADA DO EDIFÍCIO-SEDE</t>
  </si>
  <si>
    <t>COMPOSIÇÃO DO BDI DE SERVIÇOS – COM DESONERAÇÃO</t>
  </si>
  <si>
    <t>Data:</t>
  </si>
  <si>
    <t>DESCRIÇÃO</t>
  </si>
  <si>
    <t>DL</t>
  </si>
  <si>
    <t>Despesas Legais (impostos)</t>
  </si>
  <si>
    <t>REF. LICITAÇÃO</t>
  </si>
  <si>
    <t>% Sobre os CD</t>
  </si>
  <si>
    <t>A</t>
  </si>
  <si>
    <t xml:space="preserve"> PIS</t>
  </si>
  <si>
    <t>0,65% de PV</t>
  </si>
  <si>
    <t>B</t>
  </si>
  <si>
    <t>COFINS</t>
  </si>
  <si>
    <t>3,00% de PV</t>
  </si>
  <si>
    <t>C</t>
  </si>
  <si>
    <t>ISS - Imposto Sobre Serviços (médias das alíquotas)</t>
  </si>
  <si>
    <t>5,00% de PV</t>
  </si>
  <si>
    <t>D</t>
  </si>
  <si>
    <t>CPRB - Contribuição Previdenciária sobre a Receita Bruta (%)</t>
  </si>
  <si>
    <t>4,50% de PV</t>
  </si>
  <si>
    <t>Total Parcial:</t>
  </si>
  <si>
    <t>DA</t>
  </si>
  <si>
    <t>Despesas Administrativas</t>
  </si>
  <si>
    <t>E</t>
  </si>
  <si>
    <t>Administração Central (escritório, estrutura física, telefone, secretarias, etc.).</t>
  </si>
  <si>
    <t>4,00% do CD</t>
  </si>
  <si>
    <t>F</t>
  </si>
  <si>
    <t>Riscos</t>
  </si>
  <si>
    <t>1,27% do CD</t>
  </si>
  <si>
    <t>G</t>
  </si>
  <si>
    <t>Garantias</t>
  </si>
  <si>
    <t>0,40% do CD</t>
  </si>
  <si>
    <t>H</t>
  </si>
  <si>
    <t>Seguros</t>
  </si>
  <si>
    <t>DF</t>
  </si>
  <si>
    <t>Despesas Financeiras</t>
  </si>
  <si>
    <t>J</t>
  </si>
  <si>
    <t>Juros Mensal (Meta SELIC SET/2021 – 6,25%)</t>
  </si>
  <si>
    <t>0,53% do CD</t>
  </si>
  <si>
    <t>RE</t>
  </si>
  <si>
    <t>Remuneração</t>
  </si>
  <si>
    <t>L</t>
  </si>
  <si>
    <t xml:space="preserve"> Lucro</t>
  </si>
  <si>
    <t>7,40% do CD</t>
  </si>
  <si>
    <t>BDI ARREDONDADO:</t>
  </si>
  <si>
    <t xml:space="preserve">MÉTODO DE CÁLCULO </t>
  </si>
  <si>
    <t>BDI% = { [ (1+DA) x (1+DF) x (1+RE) ] /  (1- DL) -1 } x 100</t>
  </si>
  <si>
    <t>LISTA DE ABREVIATURAS</t>
  </si>
  <si>
    <t>CD – Parcela incidente sobre os Custos Diretos</t>
  </si>
  <si>
    <t>PV – Parcela incidente sobre o Preço de Venda</t>
  </si>
  <si>
    <t>DU – Dias Úteis</t>
  </si>
  <si>
    <t>REFERÊNCIAS DO CÁLCULO DO BDI</t>
  </si>
  <si>
    <t>A- PIS - Decretos - Lei 2.445/88 e 2.449/88.</t>
  </si>
  <si>
    <t>B- COFINS - Lei Federal 9.718/98.</t>
  </si>
  <si>
    <t>C- ISS – Belo Horizonte.</t>
  </si>
  <si>
    <t>D - CPBR - Lei 13.161/2015.</t>
  </si>
  <si>
    <t>E- Administração Central - Acordão 2.622/2013 (médio) 3,00% a 5,50%. Médio de 4,00%. Entendemos que a gerência local assume atividades parciais da administração central na condução dos contratos.</t>
  </si>
  <si>
    <t>F, G, H – Risco, Garantias e Seguros com base na redação do Acordão 2.622/2013.</t>
  </si>
  <si>
    <t>J - Juros calculado com base na meta da taxa SELIC, definida pelo comitê de política monetária do Banco Central, e na fórmula do Acordão nº 69/2011 (J=(1 + Taxa SELIC/100)^(DU/252)-1). Estimativa de 22 (vinte) dias úteis por mês.</t>
  </si>
  <si>
    <t>L- Lucro - Acordão 2.622/2013 - TCU (6,16% a 8,96%) com média de 7,40%.</t>
  </si>
  <si>
    <t>BDI composto com base Art. 27, da Resolução CSJT Nº 228/2018.</t>
  </si>
  <si>
    <t>COMPOSIÇÃO DO BDI DE MATERIAIS – COM DESONERAÇÃO</t>
  </si>
  <si>
    <t>% Sobre o PV</t>
  </si>
  <si>
    <t>ISS - Imposto Sobre Serviços (médas das alíquotas)</t>
  </si>
  <si>
    <t>0,00% de PV</t>
  </si>
  <si>
    <t>3,45% do CD</t>
  </si>
  <si>
    <t>0,85% do CD</t>
  </si>
  <si>
    <t>0,24% do CD</t>
  </si>
  <si>
    <t>5,11% do CD</t>
  </si>
  <si>
    <t>E- Administração Central - Acordão 2.622/2013 (médio) 1,50% a 4,49%. Médio de 4,00%. Entendemos que a gerência local assume atividades parciais da administração central na condução dos contratos.</t>
  </si>
  <si>
    <t>L- Lucro - Acordão 2.622/2013 - TCU (3,50% a 6,22%) com média de 5,11%.</t>
  </si>
  <si>
    <r>
      <rPr>
        <b/>
        <sz val="14"/>
        <rFont val="Arial"/>
        <family val="2"/>
        <charset val="1"/>
      </rPr>
      <t xml:space="preserve">CRONOGRAMA FÍSICO-FINANCEIRO – </t>
    </r>
    <r>
      <rPr>
        <b/>
        <sz val="12"/>
        <color rgb="FF000000"/>
        <rFont val="Arial"/>
        <family val="2"/>
        <charset val="1"/>
      </rPr>
      <t>ILUMINAÇÃO CÊNICA DA FACHADA DO EDIFÍCIO-SEDE</t>
    </r>
  </si>
  <si>
    <t xml:space="preserve"> Objeto:</t>
  </si>
  <si>
    <t xml:space="preserve"> Órgão:</t>
  </si>
  <si>
    <t xml:space="preserve"> Data da Proposta:</t>
  </si>
  <si>
    <t xml:space="preserve"> Empresa:</t>
  </si>
  <si>
    <t>EMPRESA</t>
  </si>
  <si>
    <t xml:space="preserve"> CNPJ:</t>
  </si>
  <si>
    <t>Valor Global:</t>
  </si>
  <si>
    <t>EXECUÇÃO</t>
  </si>
  <si>
    <t>MEDIÇÃO /
RECEBIMENTO PROVISÓRIO
(MEDIÇÃO ÚNICA)</t>
  </si>
  <si>
    <t>RECEBIMENTO DEFINITIVO</t>
  </si>
  <si>
    <t>1ª ETAPA</t>
  </si>
  <si>
    <t>2ª ETAPA</t>
  </si>
  <si>
    <t>0 – 15
15 DIAS</t>
  </si>
  <si>
    <t>16 – 30
15 DIAS</t>
  </si>
  <si>
    <t>30 – 45
15DIAS</t>
  </si>
  <si>
    <t>15 DIAS</t>
  </si>
  <si>
    <t>90 DIAS</t>
  </si>
  <si>
    <t>FORNECIMENTO DE MATERIAIS E EQUIPAMENTOS</t>
  </si>
  <si>
    <t xml:space="preserve">VALOR GLOBAL  REFERENCIAL (R$): </t>
  </si>
  <si>
    <t>________________________________</t>
  </si>
  <si>
    <t>REFLETOR RIBALTA 72X15W, BIVOLT, RGBWA, IP65, CONTROLE DMX 512 – BDI REDUZIDO</t>
  </si>
  <si>
    <t>MESA DMX 512, BIVOLT, 192 CANAIS (COMPORTA ATÉ 12 APARELHOS COM 16 CANAIS CADA) – BDI REDUZIDO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</si>
</sst>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/m/yyyy"/>
    <numFmt numFmtId="165" formatCode="[$R$-416]\ #,##0.00;[Red]\-[$R$-416]\ #,##0.00"/>
    <numFmt numFmtId="166" formatCode="#,##0.0000"/>
    <numFmt numFmtId="167" formatCode="0.0000"/>
    <numFmt numFmtId="168" formatCode="#0.00"/>
    <numFmt numFmtId="169" formatCode="0.000000000"/>
    <numFmt numFmtId="170" formatCode="#"/>
    <numFmt numFmtId="171" formatCode="0.000000"/>
    <numFmt numFmtId="172" formatCode="d/mm/yyyy"/>
  </numFmts>
  <fonts count="33" x14ac:knownFonts="1"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C9211E"/>
      <name val="Arial"/>
      <family val="2"/>
      <charset val="1"/>
    </font>
    <font>
      <b/>
      <sz val="7"/>
      <name val="Arial"/>
      <family val="2"/>
      <charset val="1"/>
    </font>
    <font>
      <b/>
      <sz val="6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333333"/>
      <name val="Arial"/>
      <family val="2"/>
      <charset val="1"/>
    </font>
    <font>
      <sz val="10"/>
      <color rgb="FF333333"/>
      <name val="Arial"/>
      <family val="2"/>
      <charset val="1"/>
    </font>
    <font>
      <sz val="7"/>
      <color rgb="FF000000"/>
      <name val="Arial"/>
      <family val="2"/>
      <charset val="1"/>
    </font>
    <font>
      <b/>
      <sz val="7"/>
      <color rgb="FF000000"/>
      <name val="Arial"/>
      <family val="2"/>
      <charset val="1"/>
    </font>
    <font>
      <sz val="11"/>
      <color rgb="FF333333"/>
      <name val="Arial"/>
      <family val="2"/>
      <charset val="1"/>
    </font>
    <font>
      <b/>
      <sz val="13"/>
      <color rgb="FF000000"/>
      <name val="Arial"/>
      <family val="2"/>
      <charset val="1"/>
    </font>
    <font>
      <sz val="9"/>
      <color rgb="FF575756"/>
      <name val="Arial"/>
      <family val="2"/>
      <charset val="1"/>
    </font>
    <font>
      <sz val="10"/>
      <color rgb="FF000000"/>
      <name val="Arial"/>
      <family val="2"/>
    </font>
    <font>
      <b/>
      <sz val="14"/>
      <name val="Arial"/>
      <family val="2"/>
      <charset val="1"/>
    </font>
    <font>
      <b/>
      <sz val="12"/>
      <name val="Arial"/>
      <charset val="1"/>
    </font>
    <font>
      <b/>
      <sz val="10"/>
      <name val="Arial"/>
      <charset val="1"/>
    </font>
    <font>
      <b/>
      <sz val="5"/>
      <color rgb="FF000000"/>
      <name val="Arial"/>
      <family val="2"/>
      <charset val="1"/>
    </font>
    <font>
      <b/>
      <sz val="8"/>
      <name val="Arial"/>
      <charset val="1"/>
    </font>
    <font>
      <b/>
      <sz val="8"/>
      <color rgb="FFFFFFFF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00A933"/>
        <bgColor rgb="FF008000"/>
      </patternFill>
    </fill>
    <fill>
      <patternFill patternType="solid">
        <fgColor rgb="FF00B0F0"/>
        <bgColor rgb="FF33CCCC"/>
      </patternFill>
    </fill>
    <fill>
      <patternFill patternType="solid">
        <fgColor rgb="FFFFBF00"/>
        <bgColor rgb="FFFF9900"/>
      </patternFill>
    </fill>
    <fill>
      <patternFill patternType="solid">
        <fgColor rgb="FF2A6099"/>
        <bgColor rgb="FF575756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4" fillId="0" borderId="0" applyBorder="0" applyProtection="0"/>
    <xf numFmtId="0" fontId="1" fillId="0" borderId="0"/>
  </cellStyleXfs>
  <cellXfs count="184">
    <xf numFmtId="0" fontId="0" fillId="0" borderId="0" xfId="0"/>
    <xf numFmtId="0" fontId="0" fillId="0" borderId="0" xfId="0" applyAlignment="1">
      <alignment wrapText="1"/>
    </xf>
    <xf numFmtId="0" fontId="3" fillId="0" borderId="2" xfId="2" applyFont="1" applyBorder="1" applyAlignment="1">
      <alignment horizontal="left" vertical="center"/>
    </xf>
    <xf numFmtId="10" fontId="5" fillId="0" borderId="3" xfId="2" applyNumberFormat="1" applyFont="1" applyBorder="1" applyAlignment="1">
      <alignment horizontal="right" vertical="center"/>
    </xf>
    <xf numFmtId="10" fontId="5" fillId="0" borderId="4" xfId="2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6" fillId="3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left" vertical="center" wrapText="1"/>
    </xf>
    <xf numFmtId="4" fontId="9" fillId="4" borderId="3" xfId="0" applyNumberFormat="1" applyFont="1" applyFill="1" applyBorder="1" applyAlignment="1" applyProtection="1">
      <alignment horizontal="right" vertical="center" wrapText="1"/>
    </xf>
    <xf numFmtId="4" fontId="9" fillId="4" borderId="4" xfId="0" applyNumberFormat="1" applyFont="1" applyFill="1" applyBorder="1" applyAlignment="1" applyProtection="1">
      <alignment horizontal="righ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left" vertical="center" wrapText="1"/>
    </xf>
    <xf numFmtId="4" fontId="11" fillId="0" borderId="3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right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166" fontId="0" fillId="0" borderId="0" xfId="0" applyNumberFormat="1"/>
    <xf numFmtId="167" fontId="0" fillId="0" borderId="0" xfId="0" applyNumberFormat="1"/>
    <xf numFmtId="168" fontId="10" fillId="0" borderId="3" xfId="0" applyNumberFormat="1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left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right" vertical="center" wrapText="1"/>
    </xf>
    <xf numFmtId="4" fontId="9" fillId="0" borderId="4" xfId="0" applyNumberFormat="1" applyFont="1" applyBorder="1" applyAlignment="1" applyProtection="1">
      <alignment horizontal="right" vertical="center" wrapText="1"/>
    </xf>
    <xf numFmtId="169" fontId="0" fillId="0" borderId="0" xfId="0" applyNumberFormat="1"/>
    <xf numFmtId="4" fontId="9" fillId="0" borderId="3" xfId="2" applyNumberFormat="1" applyFont="1" applyBorder="1" applyAlignment="1" applyProtection="1">
      <alignment horizontal="right" vertical="center" wrapText="1"/>
    </xf>
    <xf numFmtId="9" fontId="9" fillId="0" borderId="3" xfId="1" applyFont="1" applyBorder="1" applyAlignment="1" applyProtection="1">
      <alignment horizontal="right" vertical="center" wrapText="1"/>
    </xf>
    <xf numFmtId="0" fontId="0" fillId="0" borderId="6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15" fillId="0" borderId="11" xfId="0" applyFont="1" applyBorder="1" applyProtection="1">
      <protection locked="0"/>
    </xf>
    <xf numFmtId="0" fontId="0" fillId="0" borderId="12" xfId="0" applyBorder="1" applyProtection="1">
      <protection locked="0"/>
    </xf>
    <xf numFmtId="0" fontId="13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/>
    </xf>
    <xf numFmtId="170" fontId="18" fillId="0" borderId="3" xfId="0" applyNumberFormat="1" applyFont="1" applyBorder="1" applyAlignment="1">
      <alignment horizontal="left" vertical="center" wrapText="1"/>
    </xf>
    <xf numFmtId="164" fontId="18" fillId="0" borderId="3" xfId="0" applyNumberFormat="1" applyFont="1" applyBorder="1" applyAlignment="1">
      <alignment horizontal="left" vertical="center" wrapText="1"/>
    </xf>
    <xf numFmtId="0" fontId="0" fillId="0" borderId="0" xfId="0" applyAlignment="1">
      <alignment horizontal="right" indent="15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8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2" xfId="0" applyFont="1" applyBorder="1" applyAlignment="1">
      <alignment horizontal="center"/>
    </xf>
    <xf numFmtId="2" fontId="1" fillId="2" borderId="4" xfId="0" applyNumberFormat="1" applyFont="1" applyFill="1" applyBorder="1" applyAlignment="1" applyProtection="1">
      <alignment horizontal="right" vertical="center" wrapText="1"/>
      <protection locked="0"/>
    </xf>
    <xf numFmtId="10" fontId="13" fillId="0" borderId="4" xfId="0" applyNumberFormat="1" applyFont="1" applyBorder="1" applyAlignment="1">
      <alignment horizontal="right" vertical="center" wrapText="1"/>
    </xf>
    <xf numFmtId="0" fontId="23" fillId="0" borderId="0" xfId="0" applyFont="1" applyBorder="1"/>
    <xf numFmtId="0" fontId="23" fillId="0" borderId="8" xfId="0" applyFont="1" applyBorder="1"/>
    <xf numFmtId="171" fontId="25" fillId="0" borderId="0" xfId="0" applyNumberFormat="1" applyFont="1"/>
    <xf numFmtId="0" fontId="25" fillId="0" borderId="0" xfId="0" applyFont="1"/>
    <xf numFmtId="0" fontId="23" fillId="0" borderId="6" xfId="0" applyFont="1" applyBorder="1" applyProtection="1"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Border="1" applyProtection="1">
      <protection locked="0"/>
    </xf>
    <xf numFmtId="0" fontId="23" fillId="0" borderId="8" xfId="0" applyFont="1" applyBorder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" fillId="0" borderId="0" xfId="2" applyFont="1" applyAlignment="1" applyProtection="1">
      <alignment horizont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23" fillId="0" borderId="10" xfId="0" applyFont="1" applyBorder="1" applyProtection="1">
      <protection locked="0"/>
    </xf>
    <xf numFmtId="0" fontId="8" fillId="0" borderId="11" xfId="2" applyFont="1" applyBorder="1" applyAlignment="1" applyProtection="1">
      <alignment horizontal="center" vertical="center"/>
      <protection locked="0"/>
    </xf>
    <xf numFmtId="0" fontId="23" fillId="0" borderId="11" xfId="0" applyFont="1" applyBorder="1" applyProtection="1">
      <protection locked="0"/>
    </xf>
    <xf numFmtId="0" fontId="23" fillId="0" borderId="12" xfId="0" applyFont="1" applyBorder="1" applyProtection="1">
      <protection locked="0"/>
    </xf>
    <xf numFmtId="0" fontId="0" fillId="0" borderId="0" xfId="0" applyBorder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0" fontId="18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0" fillId="0" borderId="11" xfId="2" applyFont="1" applyBorder="1" applyAlignment="1" applyProtection="1">
      <alignment horizontal="center" vertical="center"/>
      <protection locked="0"/>
    </xf>
    <xf numFmtId="0" fontId="1" fillId="0" borderId="0" xfId="2"/>
    <xf numFmtId="170" fontId="1" fillId="0" borderId="3" xfId="2" applyNumberFormat="1" applyFont="1" applyBorder="1" applyAlignment="1">
      <alignment horizontal="left" vertical="center" wrapText="1"/>
    </xf>
    <xf numFmtId="170" fontId="1" fillId="0" borderId="3" xfId="2" applyNumberFormat="1" applyFont="1" applyBorder="1" applyAlignment="1">
      <alignment horizontal="left" vertical="center"/>
    </xf>
    <xf numFmtId="0" fontId="29" fillId="3" borderId="3" xfId="2" applyFont="1" applyFill="1" applyBorder="1" applyAlignment="1" applyProtection="1">
      <alignment horizontal="center" vertical="center" wrapText="1"/>
    </xf>
    <xf numFmtId="0" fontId="8" fillId="0" borderId="2" xfId="2" applyFont="1" applyBorder="1" applyAlignment="1" applyProtection="1">
      <alignment horizontal="center" vertical="center" wrapText="1"/>
    </xf>
    <xf numFmtId="0" fontId="8" fillId="0" borderId="3" xfId="2" applyFont="1" applyBorder="1" applyAlignment="1" applyProtection="1">
      <alignment horizontal="left" vertical="center" wrapText="1"/>
    </xf>
    <xf numFmtId="10" fontId="8" fillId="6" borderId="3" xfId="2" applyNumberFormat="1" applyFont="1" applyFill="1" applyBorder="1" applyAlignment="1" applyProtection="1">
      <alignment horizontal="center" vertical="center" wrapText="1"/>
    </xf>
    <xf numFmtId="4" fontId="8" fillId="0" borderId="4" xfId="2" applyNumberFormat="1" applyFont="1" applyBorder="1" applyAlignment="1" applyProtection="1">
      <alignment horizontal="right" vertical="center" wrapText="1"/>
    </xf>
    <xf numFmtId="10" fontId="8" fillId="0" borderId="3" xfId="2" applyNumberFormat="1" applyFont="1" applyBorder="1" applyAlignment="1" applyProtection="1">
      <alignment horizontal="center" vertical="center" wrapText="1"/>
    </xf>
    <xf numFmtId="0" fontId="8" fillId="0" borderId="14" xfId="2" applyFont="1" applyBorder="1" applyAlignment="1" applyProtection="1">
      <alignment horizontal="left" vertical="center" wrapText="1"/>
    </xf>
    <xf numFmtId="0" fontId="9" fillId="0" borderId="14" xfId="2" applyFont="1" applyBorder="1" applyAlignment="1" applyProtection="1">
      <alignment horizontal="left" vertical="center" wrapText="1"/>
    </xf>
    <xf numFmtId="4" fontId="9" fillId="0" borderId="4" xfId="2" applyNumberFormat="1" applyFont="1" applyBorder="1" applyAlignment="1" applyProtection="1">
      <alignment horizontal="right" vertical="center" wrapText="1"/>
    </xf>
    <xf numFmtId="0" fontId="1" fillId="0" borderId="6" xfId="2" applyBorder="1" applyProtection="1">
      <protection locked="0"/>
    </xf>
    <xf numFmtId="0" fontId="1" fillId="0" borderId="0" xfId="2" applyProtection="1">
      <protection locked="0"/>
    </xf>
    <xf numFmtId="0" fontId="1" fillId="0" borderId="8" xfId="2" applyBorder="1" applyProtection="1">
      <protection locked="0"/>
    </xf>
    <xf numFmtId="0" fontId="10" fillId="0" borderId="0" xfId="2" applyFont="1" applyAlignment="1" applyProtection="1">
      <alignment horizontal="center" vertical="center"/>
      <protection locked="0"/>
    </xf>
    <xf numFmtId="0" fontId="10" fillId="0" borderId="0" xfId="2" applyFont="1" applyBorder="1" applyAlignment="1" applyProtection="1">
      <alignment horizontal="center" vertical="center"/>
      <protection locked="0"/>
    </xf>
    <xf numFmtId="0" fontId="1" fillId="0" borderId="10" xfId="2" applyBorder="1" applyProtection="1">
      <protection locked="0"/>
    </xf>
    <xf numFmtId="0" fontId="15" fillId="0" borderId="11" xfId="2" applyFont="1" applyBorder="1" applyProtection="1">
      <protection locked="0"/>
    </xf>
    <xf numFmtId="0" fontId="1" fillId="0" borderId="11" xfId="2" applyBorder="1" applyProtection="1">
      <protection locked="0"/>
    </xf>
    <xf numFmtId="0" fontId="1" fillId="0" borderId="12" xfId="2" applyBorder="1" applyProtection="1">
      <protection locked="0"/>
    </xf>
    <xf numFmtId="0" fontId="1" fillId="0" borderId="0" xfId="2" applyFont="1" applyBorder="1" applyAlignment="1" applyProtection="1">
      <alignment horizontal="center" vertical="center"/>
      <protection locked="0"/>
    </xf>
    <xf numFmtId="0" fontId="8" fillId="0" borderId="0" xfId="2" applyFont="1" applyBorder="1" applyAlignment="1" applyProtection="1">
      <alignment horizontal="center" vertical="center"/>
      <protection locked="0"/>
    </xf>
    <xf numFmtId="0" fontId="13" fillId="5" borderId="3" xfId="2" applyFont="1" applyFill="1" applyBorder="1" applyAlignment="1" applyProtection="1">
      <alignment horizontal="center" vertical="center" wrapText="1"/>
      <protection locked="0"/>
    </xf>
    <xf numFmtId="0" fontId="10" fillId="0" borderId="7" xfId="2" applyFont="1" applyBorder="1" applyAlignment="1">
      <alignment horizontal="right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right" vertical="center" wrapText="1"/>
      <protection locked="0"/>
    </xf>
    <xf numFmtId="0" fontId="10" fillId="0" borderId="3" xfId="0" applyFont="1" applyBorder="1" applyAlignment="1" applyProtection="1">
      <alignment horizontal="right" vertical="center" wrapText="1"/>
      <protection locked="0"/>
    </xf>
    <xf numFmtId="0" fontId="0" fillId="0" borderId="6" xfId="0" applyBorder="1" applyAlignment="1">
      <alignment horizontal="center" vertical="center"/>
    </xf>
    <xf numFmtId="0" fontId="8" fillId="4" borderId="3" xfId="0" applyFont="1" applyFill="1" applyBorder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4" xfId="2" applyFont="1" applyFill="1" applyBorder="1" applyAlignment="1" applyProtection="1">
      <alignment horizontal="center" vertical="center" wrapText="1"/>
    </xf>
    <xf numFmtId="0" fontId="1" fillId="2" borderId="3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>
      <alignment horizontal="right" vertical="center"/>
    </xf>
    <xf numFmtId="164" fontId="1" fillId="2" borderId="3" xfId="2" applyNumberFormat="1" applyFont="1" applyFill="1" applyBorder="1" applyAlignment="1" applyProtection="1">
      <alignment horizontal="center" vertical="center"/>
      <protection locked="0"/>
    </xf>
    <xf numFmtId="0" fontId="4" fillId="0" borderId="2" xfId="2" applyFont="1" applyBorder="1" applyAlignment="1">
      <alignment horizontal="center" vertical="center"/>
    </xf>
    <xf numFmtId="165" fontId="3" fillId="0" borderId="3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 wrapText="1"/>
    </xf>
    <xf numFmtId="0" fontId="1" fillId="2" borderId="4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wrapText="1"/>
    </xf>
    <xf numFmtId="0" fontId="1" fillId="2" borderId="3" xfId="2" applyFont="1" applyFill="1" applyBorder="1" applyAlignment="1" applyProtection="1">
      <alignment horizontal="center" vertical="center" wrapText="1"/>
      <protection locked="0"/>
    </xf>
    <xf numFmtId="0" fontId="1" fillId="2" borderId="3" xfId="2" applyFont="1" applyFill="1" applyBorder="1" applyAlignment="1" applyProtection="1">
      <alignment horizontal="left" vertical="center"/>
      <protection locked="0"/>
    </xf>
    <xf numFmtId="0" fontId="1" fillId="2" borderId="3" xfId="2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/>
    </xf>
    <xf numFmtId="0" fontId="18" fillId="0" borderId="2" xfId="0" applyFont="1" applyBorder="1" applyAlignment="1">
      <alignment horizontal="left" vertical="center"/>
    </xf>
    <xf numFmtId="0" fontId="23" fillId="0" borderId="2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13" fillId="0" borderId="2" xfId="0" applyFont="1" applyBorder="1" applyAlignment="1">
      <alignment horizontal="right" vertical="center" wrapText="1"/>
    </xf>
    <xf numFmtId="0" fontId="20" fillId="0" borderId="13" xfId="0" applyFont="1" applyBorder="1"/>
    <xf numFmtId="0" fontId="16" fillId="0" borderId="1" xfId="0" applyFont="1" applyBorder="1" applyAlignment="1">
      <alignment horizontal="center" wrapText="1"/>
    </xf>
    <xf numFmtId="0" fontId="17" fillId="0" borderId="13" xfId="0" applyFont="1" applyBorder="1" applyAlignment="1">
      <alignment horizontal="center" vertical="center" wrapText="1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 vertical="center"/>
    </xf>
    <xf numFmtId="0" fontId="18" fillId="0" borderId="13" xfId="0" applyFont="1" applyBorder="1" applyAlignment="1">
      <alignment horizontal="center" vertical="center"/>
    </xf>
    <xf numFmtId="0" fontId="8" fillId="0" borderId="8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center" vertical="center"/>
      <protection locked="0"/>
    </xf>
    <xf numFmtId="0" fontId="10" fillId="0" borderId="2" xfId="2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right" vertical="center" wrapText="1"/>
      <protection locked="0"/>
    </xf>
    <xf numFmtId="0" fontId="1" fillId="0" borderId="13" xfId="2" applyFont="1" applyBorder="1" applyAlignment="1">
      <alignment horizontal="left" vertical="center"/>
    </xf>
    <xf numFmtId="0" fontId="10" fillId="0" borderId="9" xfId="2" applyFont="1" applyBorder="1" applyAlignment="1" applyProtection="1">
      <alignment horizontal="center"/>
      <protection locked="0"/>
    </xf>
    <xf numFmtId="0" fontId="1" fillId="0" borderId="8" xfId="2" applyFont="1" applyBorder="1" applyAlignment="1" applyProtection="1">
      <alignment horizontal="center" vertical="center"/>
      <protection locked="0"/>
    </xf>
    <xf numFmtId="10" fontId="8" fillId="4" borderId="3" xfId="2" applyNumberFormat="1" applyFont="1" applyFill="1" applyBorder="1" applyAlignment="1" applyProtection="1">
      <alignment horizontal="center" vertical="center" wrapText="1"/>
    </xf>
    <xf numFmtId="10" fontId="32" fillId="7" borderId="3" xfId="2" applyNumberFormat="1" applyFont="1" applyFill="1" applyBorder="1" applyAlignment="1" applyProtection="1">
      <alignment horizontal="center" vertical="center" wrapText="1"/>
    </xf>
    <xf numFmtId="10" fontId="8" fillId="6" borderId="3" xfId="2" applyNumberFormat="1" applyFont="1" applyFill="1" applyBorder="1" applyAlignment="1" applyProtection="1">
      <alignment horizontal="center" vertical="center" wrapText="1"/>
    </xf>
    <xf numFmtId="10" fontId="8" fillId="0" borderId="3" xfId="2" applyNumberFormat="1" applyFont="1" applyBorder="1" applyAlignment="1" applyProtection="1">
      <alignment horizontal="center" vertical="center" wrapText="1"/>
    </xf>
    <xf numFmtId="0" fontId="4" fillId="0" borderId="13" xfId="2" applyFont="1" applyBorder="1" applyAlignment="1">
      <alignment horizontal="center" vertical="center"/>
    </xf>
    <xf numFmtId="0" fontId="28" fillId="3" borderId="2" xfId="2" applyFont="1" applyFill="1" applyBorder="1" applyAlignment="1" applyProtection="1">
      <alignment horizontal="center" vertical="center" wrapText="1"/>
    </xf>
    <xf numFmtId="0" fontId="28" fillId="3" borderId="3" xfId="2" applyFont="1" applyFill="1" applyBorder="1" applyAlignment="1" applyProtection="1">
      <alignment horizontal="center" vertical="center" wrapText="1"/>
    </xf>
    <xf numFmtId="0" fontId="29" fillId="3" borderId="3" xfId="2" applyFont="1" applyFill="1" applyBorder="1" applyAlignment="1" applyProtection="1">
      <alignment horizontal="center" vertical="center" wrapText="1"/>
    </xf>
    <xf numFmtId="0" fontId="30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31" fillId="3" borderId="4" xfId="2" applyFont="1" applyFill="1" applyBorder="1" applyAlignment="1" applyProtection="1">
      <alignment horizontal="center" vertical="center" wrapText="1"/>
    </xf>
    <xf numFmtId="0" fontId="27" fillId="0" borderId="1" xfId="2" applyFont="1" applyBorder="1" applyAlignment="1">
      <alignment horizontal="center"/>
    </xf>
    <xf numFmtId="0" fontId="18" fillId="2" borderId="4" xfId="2" applyFont="1" applyFill="1" applyBorder="1" applyAlignment="1" applyProtection="1">
      <alignment horizontal="center" vertical="center" wrapText="1"/>
      <protection locked="0"/>
    </xf>
    <xf numFmtId="172" fontId="1" fillId="0" borderId="3" xfId="2" applyNumberFormat="1" applyBorder="1" applyAlignment="1">
      <alignment horizontal="right"/>
    </xf>
    <xf numFmtId="170" fontId="0" fillId="0" borderId="7" xfId="0" applyNumberFormat="1" applyBorder="1" applyAlignment="1">
      <alignment horizontal="left" vertical="center"/>
    </xf>
    <xf numFmtId="165" fontId="1" fillId="0" borderId="3" xfId="2" applyNumberFormat="1" applyFont="1" applyBorder="1" applyAlignment="1">
      <alignment horizontal="right" vertical="center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575756"/>
      <rgbColor rgb="FF969696"/>
      <rgbColor rgb="FF003366"/>
      <rgbColor rgb="FF00A933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8</xdr:col>
      <xdr:colOff>1070640</xdr:colOff>
      <xdr:row>36</xdr:row>
      <xdr:rowOff>50400</xdr:rowOff>
    </xdr:to>
    <xdr:sp macro="" textlink="">
      <xdr:nvSpPr>
        <xdr:cNvPr id="2" name="CustomShape 1" hidden="1"/>
        <xdr:cNvSpPr/>
      </xdr:nvSpPr>
      <xdr:spPr>
        <a:xfrm>
          <a:off x="0" y="0"/>
          <a:ext cx="9304560" cy="6808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1070640</xdr:colOff>
      <xdr:row>36</xdr:row>
      <xdr:rowOff>50400</xdr:rowOff>
    </xdr:to>
    <xdr:sp macro="" textlink="">
      <xdr:nvSpPr>
        <xdr:cNvPr id="3" name="CustomShape 1" hidden="1"/>
        <xdr:cNvSpPr/>
      </xdr:nvSpPr>
      <xdr:spPr>
        <a:xfrm>
          <a:off x="0" y="0"/>
          <a:ext cx="9304560" cy="6808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tabSelected="1" view="pageBreakPreview" topLeftCell="D45" zoomScale="140" zoomScaleNormal="140" zoomScaleSheetLayoutView="140" zoomScalePageLayoutView="110" workbookViewId="0">
      <selection activeCell="L53" sqref="L53"/>
    </sheetView>
  </sheetViews>
  <sheetFormatPr defaultColWidth="8" defaultRowHeight="14.25" x14ac:dyDescent="0.2"/>
  <cols>
    <col min="1" max="1" width="4.625" customWidth="1"/>
    <col min="2" max="2" width="12.375" customWidth="1"/>
    <col min="3" max="3" width="43.625" customWidth="1"/>
    <col min="4" max="4" width="9.125" customWidth="1"/>
    <col min="5" max="5" width="3.875" customWidth="1"/>
    <col min="6" max="6" width="10.5" customWidth="1"/>
    <col min="7" max="7" width="9.375" customWidth="1"/>
    <col min="8" max="8" width="8.875" customWidth="1"/>
    <col min="9" max="9" width="9.125" customWidth="1"/>
    <col min="10" max="10" width="11.375" customWidth="1"/>
    <col min="11" max="11" width="9.25" customWidth="1"/>
    <col min="13" max="13" width="11.625" hidden="1" customWidth="1"/>
    <col min="14" max="16" width="10.5" hidden="1" customWidth="1"/>
    <col min="17" max="18" width="26.625" customWidth="1"/>
    <col min="19" max="19" width="25.125" customWidth="1"/>
  </cols>
  <sheetData>
    <row r="1" spans="1:26" s="1" customFormat="1" ht="15.75" x14ac:dyDescent="0.2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26" ht="24.4" customHeight="1" x14ac:dyDescent="0.25">
      <c r="A2" s="138" t="s">
        <v>1</v>
      </c>
      <c r="B2" s="138"/>
      <c r="C2" s="139" t="s">
        <v>2</v>
      </c>
      <c r="D2" s="139"/>
      <c r="E2" s="139"/>
      <c r="F2" s="139"/>
      <c r="G2" s="139"/>
      <c r="H2" s="139"/>
      <c r="I2" s="139"/>
      <c r="J2" s="140" t="s">
        <v>3</v>
      </c>
      <c r="K2" s="140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spans="1:26" ht="13.9" customHeight="1" x14ac:dyDescent="0.2">
      <c r="A3" s="138" t="s">
        <v>4</v>
      </c>
      <c r="B3" s="138"/>
      <c r="C3" s="139" t="s">
        <v>5</v>
      </c>
      <c r="D3" s="139"/>
      <c r="E3" s="139"/>
      <c r="F3" s="133" t="s">
        <v>6</v>
      </c>
      <c r="G3" s="133"/>
      <c r="H3" s="142"/>
      <c r="I3" s="142"/>
      <c r="J3" s="140"/>
      <c r="K3" s="140"/>
    </row>
    <row r="4" spans="1:26" x14ac:dyDescent="0.2">
      <c r="A4" s="138" t="s">
        <v>7</v>
      </c>
      <c r="B4" s="138"/>
      <c r="C4" s="143"/>
      <c r="D4" s="143"/>
      <c r="E4" s="143"/>
      <c r="F4" s="143"/>
      <c r="G4" s="143"/>
      <c r="H4" s="143"/>
      <c r="I4" s="143"/>
      <c r="J4" s="140"/>
      <c r="K4" s="140"/>
    </row>
    <row r="5" spans="1:26" x14ac:dyDescent="0.2">
      <c r="A5" s="138" t="s">
        <v>8</v>
      </c>
      <c r="B5" s="138"/>
      <c r="C5" s="144"/>
      <c r="D5" s="144"/>
      <c r="E5" s="144"/>
      <c r="F5" s="133" t="s">
        <v>9</v>
      </c>
      <c r="G5" s="133"/>
      <c r="H5" s="134"/>
      <c r="I5" s="134"/>
      <c r="J5" s="140"/>
      <c r="K5" s="140"/>
    </row>
    <row r="6" spans="1:26" x14ac:dyDescent="0.2">
      <c r="A6" s="138" t="s">
        <v>10</v>
      </c>
      <c r="B6" s="138"/>
      <c r="C6" s="132"/>
      <c r="D6" s="132"/>
      <c r="E6" s="132"/>
      <c r="F6" s="133" t="s">
        <v>11</v>
      </c>
      <c r="G6" s="133"/>
      <c r="H6" s="134"/>
      <c r="I6" s="134"/>
      <c r="J6" s="140"/>
      <c r="K6" s="140"/>
    </row>
    <row r="7" spans="1:26" x14ac:dyDescent="0.2">
      <c r="A7" s="135" t="s">
        <v>12</v>
      </c>
      <c r="B7" s="135"/>
      <c r="C7" s="136">
        <f>J60</f>
        <v>269.36</v>
      </c>
      <c r="D7" s="136"/>
      <c r="E7" s="136"/>
      <c r="F7" s="133" t="s">
        <v>13</v>
      </c>
      <c r="G7" s="133"/>
      <c r="H7" s="3">
        <f>'BDI Serviços'!D32</f>
        <v>0.15140000000000001</v>
      </c>
      <c r="I7" s="133" t="s">
        <v>14</v>
      </c>
      <c r="J7" s="133"/>
      <c r="K7" s="4">
        <f>'BDI Materiais'!D32</f>
        <v>8.8700000000000001E-2</v>
      </c>
      <c r="Q7" s="124"/>
      <c r="R7" s="124"/>
      <c r="S7" s="124"/>
      <c r="T7" s="124"/>
      <c r="U7" s="124"/>
      <c r="V7" s="124"/>
    </row>
    <row r="8" spans="1:26" x14ac:dyDescent="0.2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5"/>
    </row>
    <row r="9" spans="1:26" ht="13.9" customHeight="1" x14ac:dyDescent="0.2">
      <c r="A9" s="126" t="s">
        <v>15</v>
      </c>
      <c r="B9" s="127" t="s">
        <v>16</v>
      </c>
      <c r="C9" s="128" t="s">
        <v>17</v>
      </c>
      <c r="D9" s="127" t="s">
        <v>18</v>
      </c>
      <c r="E9" s="127" t="s">
        <v>19</v>
      </c>
      <c r="F9" s="127" t="s">
        <v>20</v>
      </c>
      <c r="G9" s="129" t="s">
        <v>21</v>
      </c>
      <c r="H9" s="130" t="s">
        <v>22</v>
      </c>
      <c r="I9" s="7" t="s">
        <v>23</v>
      </c>
      <c r="J9" s="127" t="s">
        <v>24</v>
      </c>
      <c r="K9" s="131" t="s">
        <v>25</v>
      </c>
    </row>
    <row r="10" spans="1:26" x14ac:dyDescent="0.2">
      <c r="A10" s="126"/>
      <c r="B10" s="127"/>
      <c r="C10" s="127"/>
      <c r="D10" s="127"/>
      <c r="E10" s="127"/>
      <c r="F10" s="127"/>
      <c r="G10" s="127"/>
      <c r="H10" s="130"/>
      <c r="I10" s="6" t="s">
        <v>26</v>
      </c>
      <c r="J10" s="127"/>
      <c r="K10" s="131"/>
    </row>
    <row r="11" spans="1:26" ht="13.9" customHeight="1" x14ac:dyDescent="0.2">
      <c r="A11" s="8">
        <v>1</v>
      </c>
      <c r="B11" s="122" t="s">
        <v>27</v>
      </c>
      <c r="C11" s="122"/>
      <c r="D11" s="122"/>
      <c r="E11" s="122"/>
      <c r="F11" s="122"/>
      <c r="G11" s="122"/>
      <c r="H11" s="122"/>
      <c r="I11" s="122"/>
      <c r="J11" s="9">
        <f>J12</f>
        <v>269.36</v>
      </c>
      <c r="K11" s="10">
        <v>308.47000000000003</v>
      </c>
      <c r="M11">
        <f>F12*G12</f>
        <v>233.94</v>
      </c>
    </row>
    <row r="12" spans="1:26" ht="22.5" x14ac:dyDescent="0.2">
      <c r="A12" s="11" t="s">
        <v>28</v>
      </c>
      <c r="B12" s="12" t="s">
        <v>29</v>
      </c>
      <c r="C12" s="13" t="s">
        <v>30</v>
      </c>
      <c r="D12" s="12" t="s">
        <v>31</v>
      </c>
      <c r="E12" s="12" t="s">
        <v>32</v>
      </c>
      <c r="F12" s="14">
        <v>1</v>
      </c>
      <c r="G12" s="15">
        <v>233.94</v>
      </c>
      <c r="H12" s="15">
        <f>ROUND(G12*'BDI Serviços'!$D$32,2)</f>
        <v>35.42</v>
      </c>
      <c r="I12" s="15">
        <f>ROUNDDOWN(G12+H12,2)</f>
        <v>269.36</v>
      </c>
      <c r="J12" s="15">
        <f>ROUND(I12*F12,2)</f>
        <v>269.36</v>
      </c>
      <c r="K12" s="16">
        <v>308.47000000000003</v>
      </c>
      <c r="M12" s="17"/>
      <c r="N12" s="17">
        <f>G12*F12</f>
        <v>233.94</v>
      </c>
      <c r="O12" s="18">
        <f>H12*F12</f>
        <v>35.42</v>
      </c>
      <c r="P12" s="18"/>
      <c r="Q12" s="18"/>
    </row>
    <row r="13" spans="1:26" ht="13.9" customHeight="1" x14ac:dyDescent="0.2">
      <c r="A13" s="8">
        <v>2</v>
      </c>
      <c r="B13" s="122" t="s">
        <v>33</v>
      </c>
      <c r="C13" s="122"/>
      <c r="D13" s="122"/>
      <c r="E13" s="122"/>
      <c r="F13" s="122"/>
      <c r="G13" s="122"/>
      <c r="H13" s="122"/>
      <c r="I13" s="122"/>
      <c r="J13" s="9">
        <f>SUM(J14:J40)</f>
        <v>0</v>
      </c>
      <c r="K13" s="10">
        <v>26040.400000000001</v>
      </c>
      <c r="M13" s="17" t="e">
        <f>F14*G14+#REF!*#REF!+#REF!*#REF!+#REF!*#REF!+#REF!*#REF!+#REF!*#REF!+#REF!*#REF!+#REF!*#REF!+#REF!*#REF!+#REF!*#REF!+#REF!*#REF!+#REF!*#REF!+#REF!*#REF!+#REF!*#REF!+#REF!*#REF!+#REF!*#REF!</f>
        <v>#REF!</v>
      </c>
      <c r="O13" s="18"/>
      <c r="P13" s="18"/>
      <c r="Q13" s="18"/>
    </row>
    <row r="14" spans="1:26" ht="22.5" x14ac:dyDescent="0.2">
      <c r="A14" s="11" t="s">
        <v>34</v>
      </c>
      <c r="B14" s="19" t="s">
        <v>35</v>
      </c>
      <c r="C14" s="20" t="s">
        <v>36</v>
      </c>
      <c r="D14" s="12" t="s">
        <v>31</v>
      </c>
      <c r="E14" s="12" t="s">
        <v>37</v>
      </c>
      <c r="F14" s="14">
        <v>155</v>
      </c>
      <c r="G14" s="21"/>
      <c r="H14" s="15">
        <f>ROUND(G14*'BDI Serviços'!$D$32,2)</f>
        <v>0</v>
      </c>
      <c r="I14" s="15">
        <f t="shared" ref="I14:I40" si="0">ROUND(G14+H14,2)</f>
        <v>0</v>
      </c>
      <c r="J14" s="15">
        <f t="shared" ref="J14:J40" si="1">ROUND(I14*F14,2)</f>
        <v>0</v>
      </c>
      <c r="K14" s="16">
        <v>2270.75</v>
      </c>
      <c r="M14" s="17"/>
      <c r="N14" s="17">
        <f>G14*F14</f>
        <v>0</v>
      </c>
      <c r="O14" s="18">
        <f>H14*F14</f>
        <v>0</v>
      </c>
      <c r="P14" s="18"/>
      <c r="Q14" s="18"/>
    </row>
    <row r="15" spans="1:26" ht="33.75" x14ac:dyDescent="0.2">
      <c r="A15" s="11" t="s">
        <v>38</v>
      </c>
      <c r="B15" s="12">
        <v>91926</v>
      </c>
      <c r="C15" s="20" t="s">
        <v>39</v>
      </c>
      <c r="D15" s="12" t="s">
        <v>40</v>
      </c>
      <c r="E15" s="12" t="s">
        <v>37</v>
      </c>
      <c r="F15" s="14">
        <v>4.5</v>
      </c>
      <c r="G15" s="21"/>
      <c r="H15" s="15">
        <f>ROUND(G15*'BDI Serviços'!$D$32,2)</f>
        <v>0</v>
      </c>
      <c r="I15" s="15">
        <f t="shared" si="0"/>
        <v>0</v>
      </c>
      <c r="J15" s="15">
        <f t="shared" si="1"/>
        <v>0</v>
      </c>
      <c r="K15" s="16">
        <v>21.74</v>
      </c>
      <c r="M15" s="17"/>
      <c r="N15" s="17"/>
      <c r="O15" s="18"/>
      <c r="P15" s="18"/>
      <c r="Q15" s="18"/>
    </row>
    <row r="16" spans="1:26" ht="33.75" x14ac:dyDescent="0.2">
      <c r="A16" s="11" t="s">
        <v>41</v>
      </c>
      <c r="B16" s="12">
        <v>91928</v>
      </c>
      <c r="C16" s="20" t="s">
        <v>42</v>
      </c>
      <c r="D16" s="12" t="s">
        <v>40</v>
      </c>
      <c r="E16" s="12" t="s">
        <v>37</v>
      </c>
      <c r="F16" s="14">
        <v>40</v>
      </c>
      <c r="G16" s="21"/>
      <c r="H16" s="15">
        <f>ROUND(G16*'BDI Serviços'!$D$32,2)</f>
        <v>0</v>
      </c>
      <c r="I16" s="15">
        <f t="shared" si="0"/>
        <v>0</v>
      </c>
      <c r="J16" s="15">
        <f t="shared" si="1"/>
        <v>0</v>
      </c>
      <c r="K16" s="16">
        <v>319.60000000000002</v>
      </c>
      <c r="M16" s="17"/>
      <c r="N16" s="17">
        <f>G16*F16</f>
        <v>0</v>
      </c>
      <c r="O16" s="18">
        <f>H16*F16</f>
        <v>0</v>
      </c>
      <c r="P16" s="18"/>
      <c r="Q16" s="18"/>
    </row>
    <row r="17" spans="1:17" ht="22.5" x14ac:dyDescent="0.2">
      <c r="A17" s="11" t="s">
        <v>43</v>
      </c>
      <c r="B17" s="19" t="s">
        <v>44</v>
      </c>
      <c r="C17" s="20" t="s">
        <v>45</v>
      </c>
      <c r="D17" s="12" t="s">
        <v>31</v>
      </c>
      <c r="E17" s="12" t="s">
        <v>37</v>
      </c>
      <c r="F17" s="14">
        <v>190</v>
      </c>
      <c r="G17" s="21"/>
      <c r="H17" s="15">
        <f>ROUND(G17*'BDI Serviços'!$D$32,2)</f>
        <v>0</v>
      </c>
      <c r="I17" s="15">
        <f t="shared" si="0"/>
        <v>0</v>
      </c>
      <c r="J17" s="15">
        <f t="shared" si="1"/>
        <v>0</v>
      </c>
      <c r="K17" s="16">
        <v>3579.6</v>
      </c>
      <c r="M17" s="17"/>
      <c r="N17" s="17"/>
      <c r="O17" s="18"/>
      <c r="P17" s="18"/>
      <c r="Q17" s="18"/>
    </row>
    <row r="18" spans="1:17" ht="45" x14ac:dyDescent="0.2">
      <c r="A18" s="11" t="s">
        <v>46</v>
      </c>
      <c r="B18" s="19" t="s">
        <v>47</v>
      </c>
      <c r="C18" s="20" t="s">
        <v>48</v>
      </c>
      <c r="D18" s="12" t="s">
        <v>31</v>
      </c>
      <c r="E18" s="12" t="s">
        <v>32</v>
      </c>
      <c r="F18" s="14">
        <v>1</v>
      </c>
      <c r="G18" s="21"/>
      <c r="H18" s="15">
        <f>ROUND(G18*'BDI Serviços'!$D$32,2)</f>
        <v>0</v>
      </c>
      <c r="I18" s="15">
        <f t="shared" si="0"/>
        <v>0</v>
      </c>
      <c r="J18" s="15">
        <f t="shared" si="1"/>
        <v>0</v>
      </c>
      <c r="K18" s="16">
        <v>63.5</v>
      </c>
      <c r="M18" s="17"/>
      <c r="N18" s="17">
        <f>G18*F18</f>
        <v>0</v>
      </c>
      <c r="O18" s="18">
        <f>H18*F18</f>
        <v>0</v>
      </c>
      <c r="P18" s="18"/>
      <c r="Q18" s="18"/>
    </row>
    <row r="19" spans="1:17" ht="45" x14ac:dyDescent="0.2">
      <c r="A19" s="11" t="s">
        <v>49</v>
      </c>
      <c r="B19" s="19" t="s">
        <v>50</v>
      </c>
      <c r="C19" s="20" t="s">
        <v>51</v>
      </c>
      <c r="D19" s="12" t="s">
        <v>31</v>
      </c>
      <c r="E19" s="12" t="s">
        <v>32</v>
      </c>
      <c r="F19" s="14">
        <v>1</v>
      </c>
      <c r="G19" s="21"/>
      <c r="H19" s="15">
        <f>ROUND(G19*'BDI Serviços'!$D$32,2)</f>
        <v>0</v>
      </c>
      <c r="I19" s="15">
        <f t="shared" si="0"/>
        <v>0</v>
      </c>
      <c r="J19" s="15">
        <f t="shared" si="1"/>
        <v>0</v>
      </c>
      <c r="K19" s="16">
        <v>232.52</v>
      </c>
      <c r="M19" s="17"/>
      <c r="N19" s="17">
        <f>G19*F19</f>
        <v>0</v>
      </c>
      <c r="O19" s="18">
        <f>H19*F19</f>
        <v>0</v>
      </c>
      <c r="P19" s="18"/>
      <c r="Q19" s="18"/>
    </row>
    <row r="20" spans="1:17" ht="22.5" x14ac:dyDescent="0.2">
      <c r="A20" s="11" t="s">
        <v>52</v>
      </c>
      <c r="B20" s="12">
        <v>93654</v>
      </c>
      <c r="C20" s="20" t="s">
        <v>53</v>
      </c>
      <c r="D20" s="12" t="s">
        <v>40</v>
      </c>
      <c r="E20" s="12" t="s">
        <v>32</v>
      </c>
      <c r="F20" s="14">
        <v>1</v>
      </c>
      <c r="G20" s="21"/>
      <c r="H20" s="15">
        <f>ROUND(G20*'BDI Serviços'!$D$32,2)</f>
        <v>0</v>
      </c>
      <c r="I20" s="15">
        <f t="shared" si="0"/>
        <v>0</v>
      </c>
      <c r="J20" s="15">
        <f t="shared" si="1"/>
        <v>0</v>
      </c>
      <c r="K20" s="16">
        <v>20.29</v>
      </c>
      <c r="M20" s="17"/>
      <c r="N20" s="17"/>
      <c r="O20" s="18"/>
      <c r="P20" s="18"/>
      <c r="Q20" s="18"/>
    </row>
    <row r="21" spans="1:17" ht="22.5" x14ac:dyDescent="0.2">
      <c r="A21" s="11" t="s">
        <v>54</v>
      </c>
      <c r="B21" s="12">
        <v>93661</v>
      </c>
      <c r="C21" s="20" t="s">
        <v>55</v>
      </c>
      <c r="D21" s="12" t="s">
        <v>40</v>
      </c>
      <c r="E21" s="12" t="s">
        <v>32</v>
      </c>
      <c r="F21" s="14">
        <v>5</v>
      </c>
      <c r="G21" s="21"/>
      <c r="H21" s="15">
        <f>ROUND(G21*'BDI Serviços'!$D$32,2)</f>
        <v>0</v>
      </c>
      <c r="I21" s="15">
        <f t="shared" si="0"/>
        <v>0</v>
      </c>
      <c r="J21" s="15">
        <f t="shared" si="1"/>
        <v>0</v>
      </c>
      <c r="K21" s="16">
        <v>514.6</v>
      </c>
      <c r="M21" s="17"/>
      <c r="N21" s="17">
        <f>G21*F21</f>
        <v>0</v>
      </c>
      <c r="O21" s="18">
        <f>H21*F21</f>
        <v>0</v>
      </c>
      <c r="P21" s="18"/>
      <c r="Q21" s="18"/>
    </row>
    <row r="22" spans="1:17" ht="22.5" x14ac:dyDescent="0.2">
      <c r="A22" s="11" t="s">
        <v>56</v>
      </c>
      <c r="B22" s="12">
        <v>101892</v>
      </c>
      <c r="C22" s="20" t="s">
        <v>57</v>
      </c>
      <c r="D22" s="12" t="s">
        <v>40</v>
      </c>
      <c r="E22" s="12" t="s">
        <v>32</v>
      </c>
      <c r="F22" s="14">
        <v>1</v>
      </c>
      <c r="G22" s="21"/>
      <c r="H22" s="15">
        <f>ROUND(G22*'BDI Serviços'!$D$32,2)</f>
        <v>0</v>
      </c>
      <c r="I22" s="15">
        <f t="shared" si="0"/>
        <v>0</v>
      </c>
      <c r="J22" s="15">
        <f t="shared" si="1"/>
        <v>0</v>
      </c>
      <c r="K22" s="16">
        <v>126.18</v>
      </c>
      <c r="M22" s="17"/>
      <c r="N22" s="17"/>
      <c r="O22" s="18"/>
      <c r="P22" s="18"/>
      <c r="Q22" s="18"/>
    </row>
    <row r="23" spans="1:17" ht="33.75" x14ac:dyDescent="0.2">
      <c r="A23" s="11" t="s">
        <v>58</v>
      </c>
      <c r="B23" s="19" t="s">
        <v>59</v>
      </c>
      <c r="C23" s="20" t="s">
        <v>60</v>
      </c>
      <c r="D23" s="12" t="s">
        <v>31</v>
      </c>
      <c r="E23" s="12" t="s">
        <v>32</v>
      </c>
      <c r="F23" s="14">
        <v>1</v>
      </c>
      <c r="G23" s="21"/>
      <c r="H23" s="15">
        <f>ROUND(G23*'BDI Serviços'!$D$32,2)</f>
        <v>0</v>
      </c>
      <c r="I23" s="15">
        <f t="shared" si="0"/>
        <v>0</v>
      </c>
      <c r="J23" s="15">
        <f t="shared" si="1"/>
        <v>0</v>
      </c>
      <c r="K23" s="16">
        <v>348.3</v>
      </c>
      <c r="M23" s="17"/>
      <c r="N23" s="17">
        <f>G23*F23</f>
        <v>0</v>
      </c>
      <c r="O23" s="18">
        <f>H23*F23</f>
        <v>0</v>
      </c>
      <c r="P23" s="18"/>
      <c r="Q23" s="18"/>
    </row>
    <row r="24" spans="1:17" ht="22.5" x14ac:dyDescent="0.2">
      <c r="A24" s="11" t="s">
        <v>61</v>
      </c>
      <c r="B24" s="19" t="s">
        <v>62</v>
      </c>
      <c r="C24" s="20" t="s">
        <v>63</v>
      </c>
      <c r="D24" s="12" t="s">
        <v>31</v>
      </c>
      <c r="E24" s="12" t="s">
        <v>32</v>
      </c>
      <c r="F24" s="14">
        <v>3</v>
      </c>
      <c r="G24" s="21"/>
      <c r="H24" s="15">
        <f>ROUND(G24*'BDI Serviços'!$D$32,2)</f>
        <v>0</v>
      </c>
      <c r="I24" s="15">
        <f t="shared" si="0"/>
        <v>0</v>
      </c>
      <c r="J24" s="15">
        <f t="shared" si="1"/>
        <v>0</v>
      </c>
      <c r="K24" s="16">
        <v>580.29</v>
      </c>
      <c r="M24" s="17"/>
      <c r="N24" s="17">
        <f>G24*F24</f>
        <v>0</v>
      </c>
      <c r="O24" s="18">
        <f>H24*F24</f>
        <v>0</v>
      </c>
      <c r="P24" s="18"/>
      <c r="Q24" s="18"/>
    </row>
    <row r="25" spans="1:17" ht="45" x14ac:dyDescent="0.2">
      <c r="A25" s="11" t="s">
        <v>64</v>
      </c>
      <c r="B25" s="19" t="s">
        <v>65</v>
      </c>
      <c r="C25" s="13" t="s">
        <v>66</v>
      </c>
      <c r="D25" s="12" t="s">
        <v>31</v>
      </c>
      <c r="E25" s="12" t="s">
        <v>37</v>
      </c>
      <c r="F25" s="14">
        <v>145</v>
      </c>
      <c r="G25" s="21"/>
      <c r="H25" s="15">
        <f>ROUND(G25*'BDI Serviços'!$D$32,2)</f>
        <v>0</v>
      </c>
      <c r="I25" s="15">
        <f t="shared" si="0"/>
        <v>0</v>
      </c>
      <c r="J25" s="15">
        <f t="shared" si="1"/>
        <v>0</v>
      </c>
      <c r="K25" s="16">
        <v>8720.2999999999993</v>
      </c>
      <c r="M25" s="17"/>
      <c r="N25" s="17">
        <f>G25*F25</f>
        <v>0</v>
      </c>
      <c r="O25" s="18">
        <f>H25*F25</f>
        <v>0</v>
      </c>
      <c r="P25" s="18"/>
      <c r="Q25" s="18"/>
    </row>
    <row r="26" spans="1:17" ht="45" x14ac:dyDescent="0.2">
      <c r="A26" s="11" t="s">
        <v>67</v>
      </c>
      <c r="B26" s="19" t="s">
        <v>68</v>
      </c>
      <c r="C26" s="13" t="s">
        <v>69</v>
      </c>
      <c r="D26" s="12" t="s">
        <v>31</v>
      </c>
      <c r="E26" s="12" t="s">
        <v>37</v>
      </c>
      <c r="F26" s="14">
        <v>21</v>
      </c>
      <c r="G26" s="21"/>
      <c r="H26" s="15">
        <f>ROUND(G26*'BDI Serviços'!$D$32,2)</f>
        <v>0</v>
      </c>
      <c r="I26" s="15">
        <f t="shared" si="0"/>
        <v>0</v>
      </c>
      <c r="J26" s="15">
        <f t="shared" si="1"/>
        <v>0</v>
      </c>
      <c r="K26" s="16">
        <v>2314.41</v>
      </c>
      <c r="M26" s="17"/>
      <c r="N26" s="17"/>
      <c r="O26" s="18"/>
      <c r="P26" s="18"/>
      <c r="Q26" s="18"/>
    </row>
    <row r="27" spans="1:17" ht="45" x14ac:dyDescent="0.2">
      <c r="A27" s="11" t="s">
        <v>70</v>
      </c>
      <c r="B27" s="19" t="s">
        <v>71</v>
      </c>
      <c r="C27" s="13" t="s">
        <v>72</v>
      </c>
      <c r="D27" s="12" t="s">
        <v>31</v>
      </c>
      <c r="E27" s="12" t="s">
        <v>37</v>
      </c>
      <c r="F27" s="14">
        <v>15</v>
      </c>
      <c r="G27" s="21"/>
      <c r="H27" s="15">
        <f>ROUND(G27*'BDI Serviços'!$D$32,2)</f>
        <v>0</v>
      </c>
      <c r="I27" s="15">
        <f t="shared" si="0"/>
        <v>0</v>
      </c>
      <c r="J27" s="15">
        <f t="shared" si="1"/>
        <v>0</v>
      </c>
      <c r="K27" s="16">
        <v>180.45</v>
      </c>
      <c r="M27" s="17"/>
      <c r="N27" s="17">
        <f>G27*F27</f>
        <v>0</v>
      </c>
      <c r="O27" s="18">
        <f>H27*F27</f>
        <v>0</v>
      </c>
      <c r="P27" s="18"/>
      <c r="Q27" s="18"/>
    </row>
    <row r="28" spans="1:17" ht="22.5" x14ac:dyDescent="0.2">
      <c r="A28" s="11" t="s">
        <v>73</v>
      </c>
      <c r="B28" s="19" t="s">
        <v>74</v>
      </c>
      <c r="C28" s="13" t="s">
        <v>75</v>
      </c>
      <c r="D28" s="12" t="s">
        <v>31</v>
      </c>
      <c r="E28" s="12" t="s">
        <v>32</v>
      </c>
      <c r="F28" s="14">
        <v>8</v>
      </c>
      <c r="G28" s="21"/>
      <c r="H28" s="15">
        <f>ROUND(G28*'BDI Serviços'!$D$32,2)</f>
        <v>0</v>
      </c>
      <c r="I28" s="15">
        <f t="shared" si="0"/>
        <v>0</v>
      </c>
      <c r="J28" s="15">
        <f t="shared" si="1"/>
        <v>0</v>
      </c>
      <c r="K28" s="16">
        <v>185.44</v>
      </c>
      <c r="M28" s="17"/>
      <c r="N28" s="17"/>
      <c r="O28" s="18"/>
      <c r="P28" s="18"/>
      <c r="Q28" s="18"/>
    </row>
    <row r="29" spans="1:17" ht="33.75" x14ac:dyDescent="0.2">
      <c r="A29" s="11" t="s">
        <v>76</v>
      </c>
      <c r="B29" s="19" t="s">
        <v>77</v>
      </c>
      <c r="C29" s="13" t="s">
        <v>78</v>
      </c>
      <c r="D29" s="12" t="s">
        <v>31</v>
      </c>
      <c r="E29" s="12" t="s">
        <v>32</v>
      </c>
      <c r="F29" s="14">
        <v>40</v>
      </c>
      <c r="G29" s="21"/>
      <c r="H29" s="15">
        <f>ROUND(G29*'BDI Serviços'!$D$32,2)</f>
        <v>0</v>
      </c>
      <c r="I29" s="15">
        <f t="shared" si="0"/>
        <v>0</v>
      </c>
      <c r="J29" s="15">
        <f t="shared" si="1"/>
        <v>0</v>
      </c>
      <c r="K29" s="16">
        <v>1820.8</v>
      </c>
      <c r="M29" s="17"/>
      <c r="N29" s="17">
        <f>G29*F29</f>
        <v>0</v>
      </c>
      <c r="O29" s="18">
        <f>H29*F29</f>
        <v>0</v>
      </c>
      <c r="P29" s="18"/>
      <c r="Q29" s="18"/>
    </row>
    <row r="30" spans="1:17" ht="33.75" x14ac:dyDescent="0.2">
      <c r="A30" s="11" t="s">
        <v>79</v>
      </c>
      <c r="B30" s="19" t="s">
        <v>80</v>
      </c>
      <c r="C30" s="13" t="s">
        <v>81</v>
      </c>
      <c r="D30" s="12" t="s">
        <v>31</v>
      </c>
      <c r="E30" s="12" t="s">
        <v>32</v>
      </c>
      <c r="F30" s="14">
        <v>4</v>
      </c>
      <c r="G30" s="21"/>
      <c r="H30" s="15">
        <f>ROUND(G30*'BDI Serviços'!$D$32,2)</f>
        <v>0</v>
      </c>
      <c r="I30" s="15">
        <f t="shared" si="0"/>
        <v>0</v>
      </c>
      <c r="J30" s="15">
        <f t="shared" si="1"/>
        <v>0</v>
      </c>
      <c r="K30" s="16">
        <v>175.28</v>
      </c>
      <c r="M30" s="17"/>
      <c r="N30" s="17"/>
      <c r="O30" s="18"/>
      <c r="P30" s="18"/>
      <c r="Q30" s="18"/>
    </row>
    <row r="31" spans="1:17" ht="33.75" x14ac:dyDescent="0.2">
      <c r="A31" s="11" t="s">
        <v>82</v>
      </c>
      <c r="B31" s="19" t="s">
        <v>83</v>
      </c>
      <c r="C31" s="13" t="s">
        <v>84</v>
      </c>
      <c r="D31" s="12" t="s">
        <v>31</v>
      </c>
      <c r="E31" s="12" t="s">
        <v>32</v>
      </c>
      <c r="F31" s="14">
        <v>10</v>
      </c>
      <c r="G31" s="21"/>
      <c r="H31" s="15">
        <f>ROUND(G31*'BDI Serviços'!$D$32,2)</f>
        <v>0</v>
      </c>
      <c r="I31" s="15">
        <f t="shared" si="0"/>
        <v>0</v>
      </c>
      <c r="J31" s="15">
        <f t="shared" si="1"/>
        <v>0</v>
      </c>
      <c r="K31" s="16">
        <v>1112.8</v>
      </c>
      <c r="M31" s="17"/>
      <c r="N31" s="17"/>
      <c r="O31" s="18"/>
      <c r="P31" s="18"/>
      <c r="Q31" s="18"/>
    </row>
    <row r="32" spans="1:17" ht="56.25" x14ac:dyDescent="0.2">
      <c r="A32" s="11" t="s">
        <v>85</v>
      </c>
      <c r="B32" s="19" t="s">
        <v>86</v>
      </c>
      <c r="C32" s="13" t="s">
        <v>87</v>
      </c>
      <c r="D32" s="12" t="s">
        <v>31</v>
      </c>
      <c r="E32" s="12" t="s">
        <v>32</v>
      </c>
      <c r="F32" s="14">
        <v>24</v>
      </c>
      <c r="G32" s="21"/>
      <c r="H32" s="15">
        <f>ROUND(G32*'BDI Serviços'!$D$32,2)</f>
        <v>0</v>
      </c>
      <c r="I32" s="15">
        <f t="shared" si="0"/>
        <v>0</v>
      </c>
      <c r="J32" s="15">
        <f t="shared" si="1"/>
        <v>0</v>
      </c>
      <c r="K32" s="16">
        <v>758.16</v>
      </c>
      <c r="M32" s="17"/>
      <c r="N32" s="17">
        <f>G32*F32</f>
        <v>0</v>
      </c>
      <c r="O32" s="18">
        <f>H32*F32</f>
        <v>0</v>
      </c>
      <c r="P32" s="18"/>
      <c r="Q32" s="18"/>
    </row>
    <row r="33" spans="1:17" ht="33.75" x14ac:dyDescent="0.2">
      <c r="A33" s="11" t="s">
        <v>88</v>
      </c>
      <c r="B33" s="12">
        <v>95797</v>
      </c>
      <c r="C33" s="13" t="s">
        <v>89</v>
      </c>
      <c r="D33" s="12" t="s">
        <v>40</v>
      </c>
      <c r="E33" s="12" t="s">
        <v>32</v>
      </c>
      <c r="F33" s="14">
        <v>6</v>
      </c>
      <c r="G33" s="21"/>
      <c r="H33" s="15">
        <f>ROUND(G33*'BDI Serviços'!$D$32,2)</f>
        <v>0</v>
      </c>
      <c r="I33" s="15">
        <f t="shared" si="0"/>
        <v>0</v>
      </c>
      <c r="J33" s="15">
        <f t="shared" si="1"/>
        <v>0</v>
      </c>
      <c r="K33" s="16">
        <v>293.27999999999997</v>
      </c>
      <c r="M33" s="17"/>
      <c r="N33" s="17"/>
      <c r="O33" s="18"/>
      <c r="P33" s="18"/>
      <c r="Q33" s="18"/>
    </row>
    <row r="34" spans="1:17" ht="33.75" x14ac:dyDescent="0.2">
      <c r="A34" s="11" t="s">
        <v>90</v>
      </c>
      <c r="B34" s="19" t="s">
        <v>91</v>
      </c>
      <c r="C34" s="13" t="s">
        <v>92</v>
      </c>
      <c r="D34" s="12" t="s">
        <v>31</v>
      </c>
      <c r="E34" s="12" t="s">
        <v>32</v>
      </c>
      <c r="F34" s="14">
        <v>1</v>
      </c>
      <c r="G34" s="21"/>
      <c r="H34" s="15">
        <f>ROUND(G34*'BDI Serviços'!$D$32,2)</f>
        <v>0</v>
      </c>
      <c r="I34" s="15">
        <f t="shared" si="0"/>
        <v>0</v>
      </c>
      <c r="J34" s="15">
        <f t="shared" si="1"/>
        <v>0</v>
      </c>
      <c r="K34" s="16">
        <v>225.41</v>
      </c>
      <c r="M34" s="17"/>
      <c r="N34" s="17"/>
      <c r="O34" s="18"/>
      <c r="P34" s="18"/>
      <c r="Q34" s="18"/>
    </row>
    <row r="35" spans="1:17" ht="33.75" x14ac:dyDescent="0.2">
      <c r="A35" s="11" t="s">
        <v>93</v>
      </c>
      <c r="B35" s="19" t="s">
        <v>94</v>
      </c>
      <c r="C35" s="20" t="s">
        <v>95</v>
      </c>
      <c r="D35" s="12" t="s">
        <v>31</v>
      </c>
      <c r="E35" s="12" t="s">
        <v>32</v>
      </c>
      <c r="F35" s="14">
        <v>16</v>
      </c>
      <c r="G35" s="21"/>
      <c r="H35" s="15">
        <f>ROUND(G35*'BDI Serviços'!$D$32,2)</f>
        <v>0</v>
      </c>
      <c r="I35" s="15">
        <f t="shared" si="0"/>
        <v>0</v>
      </c>
      <c r="J35" s="15">
        <f t="shared" si="1"/>
        <v>0</v>
      </c>
      <c r="K35" s="16">
        <v>256.16000000000003</v>
      </c>
      <c r="M35" s="17"/>
      <c r="N35" s="17">
        <f>G35*F35</f>
        <v>0</v>
      </c>
      <c r="O35" s="18">
        <f>H35*F35</f>
        <v>0</v>
      </c>
      <c r="P35" s="18"/>
      <c r="Q35" s="18"/>
    </row>
    <row r="36" spans="1:17" ht="33.75" x14ac:dyDescent="0.2">
      <c r="A36" s="11" t="s">
        <v>96</v>
      </c>
      <c r="B36" s="19" t="s">
        <v>97</v>
      </c>
      <c r="C36" s="20" t="s">
        <v>98</v>
      </c>
      <c r="D36" s="12" t="s">
        <v>31</v>
      </c>
      <c r="E36" s="12" t="s">
        <v>32</v>
      </c>
      <c r="F36" s="14">
        <v>1</v>
      </c>
      <c r="G36" s="21"/>
      <c r="H36" s="15">
        <f>ROUND(G36*'BDI Serviços'!$D$32,2)</f>
        <v>0</v>
      </c>
      <c r="I36" s="15">
        <f t="shared" si="0"/>
        <v>0</v>
      </c>
      <c r="J36" s="15">
        <f t="shared" si="1"/>
        <v>0</v>
      </c>
      <c r="K36" s="16">
        <v>1203.95</v>
      </c>
      <c r="M36" s="17"/>
      <c r="N36" s="17"/>
      <c r="O36" s="18"/>
      <c r="P36" s="18"/>
      <c r="Q36" s="18"/>
    </row>
    <row r="37" spans="1:17" ht="33.75" x14ac:dyDescent="0.2">
      <c r="A37" s="11" t="s">
        <v>99</v>
      </c>
      <c r="B37" s="19" t="s">
        <v>100</v>
      </c>
      <c r="C37" s="20" t="s">
        <v>101</v>
      </c>
      <c r="D37" s="12" t="s">
        <v>31</v>
      </c>
      <c r="E37" s="12" t="s">
        <v>32</v>
      </c>
      <c r="F37" s="14">
        <v>1</v>
      </c>
      <c r="G37" s="21"/>
      <c r="H37" s="15">
        <f>ROUND(G37*'BDI Serviços'!$D$32,2)</f>
        <v>0</v>
      </c>
      <c r="I37" s="15">
        <f t="shared" si="0"/>
        <v>0</v>
      </c>
      <c r="J37" s="15">
        <f t="shared" si="1"/>
        <v>0</v>
      </c>
      <c r="K37" s="16">
        <v>358.57</v>
      </c>
      <c r="M37" s="17"/>
      <c r="N37" s="17"/>
      <c r="O37" s="18"/>
      <c r="P37" s="18"/>
      <c r="Q37" s="18"/>
    </row>
    <row r="38" spans="1:17" ht="22.5" x14ac:dyDescent="0.2">
      <c r="A38" s="11" t="s">
        <v>102</v>
      </c>
      <c r="B38" s="19" t="s">
        <v>103</v>
      </c>
      <c r="C38" s="20" t="s">
        <v>104</v>
      </c>
      <c r="D38" s="12" t="s">
        <v>31</v>
      </c>
      <c r="E38" s="12" t="s">
        <v>32</v>
      </c>
      <c r="F38" s="14">
        <v>10</v>
      </c>
      <c r="G38" s="21"/>
      <c r="H38" s="15">
        <f>ROUND(G38*'BDI Serviços'!$D$32,2)</f>
        <v>0</v>
      </c>
      <c r="I38" s="15">
        <f t="shared" si="0"/>
        <v>0</v>
      </c>
      <c r="J38" s="15">
        <f t="shared" si="1"/>
        <v>0</v>
      </c>
      <c r="K38" s="16">
        <v>293.10000000000002</v>
      </c>
      <c r="M38" s="17"/>
      <c r="N38" s="17"/>
      <c r="O38" s="18"/>
      <c r="P38" s="18"/>
      <c r="Q38" s="18"/>
    </row>
    <row r="39" spans="1:17" ht="22.5" x14ac:dyDescent="0.2">
      <c r="A39" s="11" t="s">
        <v>105</v>
      </c>
      <c r="B39" s="19" t="s">
        <v>106</v>
      </c>
      <c r="C39" s="20" t="s">
        <v>107</v>
      </c>
      <c r="D39" s="12" t="s">
        <v>108</v>
      </c>
      <c r="E39" s="12" t="s">
        <v>32</v>
      </c>
      <c r="F39" s="14">
        <v>24</v>
      </c>
      <c r="G39" s="21"/>
      <c r="H39" s="15">
        <f>ROUND(G39*'BDI Serviços'!$D$32,2)</f>
        <v>0</v>
      </c>
      <c r="I39" s="15">
        <f t="shared" si="0"/>
        <v>0</v>
      </c>
      <c r="J39" s="15">
        <f t="shared" si="1"/>
        <v>0</v>
      </c>
      <c r="K39" s="16">
        <v>41.52</v>
      </c>
      <c r="M39" s="17"/>
      <c r="N39" s="17"/>
      <c r="O39" s="18"/>
      <c r="P39" s="18"/>
      <c r="Q39" s="18"/>
    </row>
    <row r="40" spans="1:17" ht="22.5" x14ac:dyDescent="0.2">
      <c r="A40" s="11" t="s">
        <v>109</v>
      </c>
      <c r="B40" s="19" t="s">
        <v>110</v>
      </c>
      <c r="C40" s="20" t="s">
        <v>111</v>
      </c>
      <c r="D40" s="12" t="s">
        <v>108</v>
      </c>
      <c r="E40" s="12" t="s">
        <v>32</v>
      </c>
      <c r="F40" s="14">
        <v>12</v>
      </c>
      <c r="G40" s="21"/>
      <c r="H40" s="15">
        <f>ROUND(G40*'BDI Serviços'!$D$32,2)</f>
        <v>0</v>
      </c>
      <c r="I40" s="15">
        <f t="shared" si="0"/>
        <v>0</v>
      </c>
      <c r="J40" s="15">
        <f t="shared" si="1"/>
        <v>0</v>
      </c>
      <c r="K40" s="16">
        <v>23.4</v>
      </c>
      <c r="M40" s="17"/>
      <c r="N40" s="17"/>
      <c r="O40" s="18"/>
      <c r="P40" s="18"/>
      <c r="Q40" s="18"/>
    </row>
    <row r="41" spans="1:17" ht="13.9" customHeight="1" x14ac:dyDescent="0.2">
      <c r="A41" s="8">
        <v>3</v>
      </c>
      <c r="B41" s="123" t="s">
        <v>112</v>
      </c>
      <c r="C41" s="123"/>
      <c r="D41" s="123"/>
      <c r="E41" s="123"/>
      <c r="F41" s="123"/>
      <c r="G41" s="123"/>
      <c r="H41" s="123"/>
      <c r="I41" s="123"/>
      <c r="J41" s="9">
        <f>SUM(J42:J51)</f>
        <v>0</v>
      </c>
      <c r="K41" s="10">
        <v>362.83</v>
      </c>
      <c r="M41" s="17" t="e">
        <f>F42*G42+F43*G43+F46*G46+F47*G47+F48*G48+F49*G49+#REF!*#REF!+#REF!*#REF!</f>
        <v>#REF!</v>
      </c>
      <c r="N41" s="17"/>
      <c r="O41" s="18"/>
      <c r="P41" s="18"/>
      <c r="Q41" s="18"/>
    </row>
    <row r="42" spans="1:17" ht="22.5" x14ac:dyDescent="0.2">
      <c r="A42" s="11" t="s">
        <v>113</v>
      </c>
      <c r="B42" s="12">
        <v>90447</v>
      </c>
      <c r="C42" s="13" t="s">
        <v>114</v>
      </c>
      <c r="D42" s="12" t="s">
        <v>40</v>
      </c>
      <c r="E42" s="12" t="s">
        <v>37</v>
      </c>
      <c r="F42" s="14">
        <v>3</v>
      </c>
      <c r="G42" s="21"/>
      <c r="H42" s="15">
        <f>ROUND(G42*'BDI Serviços'!$D$32,2)</f>
        <v>0</v>
      </c>
      <c r="I42" s="15">
        <f t="shared" ref="I42:I51" si="2">ROUND(H42+G42,2)</f>
        <v>0</v>
      </c>
      <c r="J42" s="15">
        <f t="shared" ref="J42:J51" si="3">ROUND(I42*F42,2)</f>
        <v>0</v>
      </c>
      <c r="K42" s="16">
        <v>18.96</v>
      </c>
      <c r="M42" s="17"/>
      <c r="N42" s="17">
        <f>G42*F42</f>
        <v>0</v>
      </c>
      <c r="O42" s="18">
        <f>H42*F42</f>
        <v>0</v>
      </c>
      <c r="P42" s="18"/>
      <c r="Q42" s="18"/>
    </row>
    <row r="43" spans="1:17" ht="22.5" x14ac:dyDescent="0.2">
      <c r="A43" s="11" t="s">
        <v>115</v>
      </c>
      <c r="B43" s="12" t="s">
        <v>116</v>
      </c>
      <c r="C43" s="13" t="s">
        <v>117</v>
      </c>
      <c r="D43" s="12" t="s">
        <v>31</v>
      </c>
      <c r="E43" s="12" t="s">
        <v>37</v>
      </c>
      <c r="F43" s="14">
        <v>3</v>
      </c>
      <c r="G43" s="21"/>
      <c r="H43" s="15">
        <f>ROUND(G43*'BDI Serviços'!$D$32,2)</f>
        <v>0</v>
      </c>
      <c r="I43" s="15">
        <f t="shared" si="2"/>
        <v>0</v>
      </c>
      <c r="J43" s="15">
        <f t="shared" si="3"/>
        <v>0</v>
      </c>
      <c r="K43" s="16">
        <v>40.89</v>
      </c>
      <c r="M43" s="17"/>
      <c r="N43" s="17">
        <f>G43*F43</f>
        <v>0</v>
      </c>
      <c r="O43" s="18">
        <f>H43*F43</f>
        <v>0</v>
      </c>
      <c r="P43" s="18"/>
      <c r="Q43" s="18"/>
    </row>
    <row r="44" spans="1:17" ht="22.5" x14ac:dyDescent="0.2">
      <c r="A44" s="11" t="s">
        <v>118</v>
      </c>
      <c r="B44" s="12">
        <v>93358</v>
      </c>
      <c r="C44" s="13" t="s">
        <v>119</v>
      </c>
      <c r="D44" s="12" t="s">
        <v>40</v>
      </c>
      <c r="E44" s="12" t="s">
        <v>120</v>
      </c>
      <c r="F44" s="14">
        <v>0.5</v>
      </c>
      <c r="G44" s="21"/>
      <c r="H44" s="15">
        <f>ROUND(G44*'BDI Serviços'!$D$32,2)</f>
        <v>0</v>
      </c>
      <c r="I44" s="15">
        <f t="shared" si="2"/>
        <v>0</v>
      </c>
      <c r="J44" s="15">
        <f t="shared" si="3"/>
        <v>0</v>
      </c>
      <c r="K44" s="16">
        <v>36.799999999999997</v>
      </c>
      <c r="M44" s="17"/>
      <c r="N44" s="17"/>
      <c r="O44" s="18"/>
      <c r="P44" s="18"/>
      <c r="Q44" s="18"/>
    </row>
    <row r="45" spans="1:17" x14ac:dyDescent="0.2">
      <c r="A45" s="11" t="s">
        <v>121</v>
      </c>
      <c r="B45" s="12">
        <v>96995</v>
      </c>
      <c r="C45" s="13" t="s">
        <v>122</v>
      </c>
      <c r="D45" s="12" t="s">
        <v>40</v>
      </c>
      <c r="E45" s="12" t="s">
        <v>120</v>
      </c>
      <c r="F45" s="14">
        <v>0.4</v>
      </c>
      <c r="G45" s="21"/>
      <c r="H45" s="15">
        <f>ROUND(G45*'BDI Serviços'!$D$32,2)</f>
        <v>0</v>
      </c>
      <c r="I45" s="15">
        <f t="shared" si="2"/>
        <v>0</v>
      </c>
      <c r="J45" s="15">
        <f t="shared" si="3"/>
        <v>0</v>
      </c>
      <c r="K45" s="16">
        <v>17.850000000000001</v>
      </c>
      <c r="M45" s="17"/>
      <c r="N45" s="17"/>
      <c r="O45" s="18"/>
      <c r="P45" s="18"/>
      <c r="Q45" s="18"/>
    </row>
    <row r="46" spans="1:17" ht="22.5" x14ac:dyDescent="0.2">
      <c r="A46" s="11" t="s">
        <v>123</v>
      </c>
      <c r="B46" s="12" t="s">
        <v>124</v>
      </c>
      <c r="C46" s="13" t="s">
        <v>125</v>
      </c>
      <c r="D46" s="12" t="s">
        <v>126</v>
      </c>
      <c r="E46" s="12" t="s">
        <v>127</v>
      </c>
      <c r="F46" s="14">
        <v>2</v>
      </c>
      <c r="G46" s="21"/>
      <c r="H46" s="15">
        <f>ROUND(G46*'BDI Serviços'!$D$32,2)</f>
        <v>0</v>
      </c>
      <c r="I46" s="15">
        <f t="shared" si="2"/>
        <v>0</v>
      </c>
      <c r="J46" s="15">
        <f t="shared" si="3"/>
        <v>0</v>
      </c>
      <c r="K46" s="16">
        <v>61.5</v>
      </c>
      <c r="M46" s="17"/>
      <c r="N46" s="17">
        <f>G46*F46</f>
        <v>0</v>
      </c>
      <c r="O46" s="18">
        <f>H46*F46</f>
        <v>0</v>
      </c>
      <c r="P46" s="18"/>
      <c r="Q46" s="18"/>
    </row>
    <row r="47" spans="1:17" ht="22.5" x14ac:dyDescent="0.2">
      <c r="A47" s="11" t="s">
        <v>128</v>
      </c>
      <c r="B47" s="12">
        <v>88494</v>
      </c>
      <c r="C47" s="13" t="s">
        <v>129</v>
      </c>
      <c r="D47" s="12" t="s">
        <v>40</v>
      </c>
      <c r="E47" s="12" t="s">
        <v>127</v>
      </c>
      <c r="F47" s="14">
        <v>2</v>
      </c>
      <c r="G47" s="21"/>
      <c r="H47" s="15">
        <f>ROUND(G47*'BDI Serviços'!$D$32,2)</f>
        <v>0</v>
      </c>
      <c r="I47" s="15">
        <f t="shared" si="2"/>
        <v>0</v>
      </c>
      <c r="J47" s="15">
        <f t="shared" si="3"/>
        <v>0</v>
      </c>
      <c r="K47" s="16">
        <v>41.22</v>
      </c>
      <c r="M47" s="17"/>
      <c r="N47" s="17">
        <f>G47*F47</f>
        <v>0</v>
      </c>
      <c r="O47" s="18">
        <f>H47*F47</f>
        <v>0</v>
      </c>
      <c r="P47" s="18"/>
      <c r="Q47" s="18"/>
    </row>
    <row r="48" spans="1:17" ht="22.5" x14ac:dyDescent="0.2">
      <c r="A48" s="11" t="s">
        <v>130</v>
      </c>
      <c r="B48" s="12">
        <v>88485</v>
      </c>
      <c r="C48" s="13" t="s">
        <v>131</v>
      </c>
      <c r="D48" s="12" t="s">
        <v>40</v>
      </c>
      <c r="E48" s="12" t="s">
        <v>127</v>
      </c>
      <c r="F48" s="14">
        <v>2</v>
      </c>
      <c r="G48" s="21"/>
      <c r="H48" s="15">
        <f>ROUND(G48*'BDI Serviços'!$D$32,2)</f>
        <v>0</v>
      </c>
      <c r="I48" s="15">
        <f t="shared" si="2"/>
        <v>0</v>
      </c>
      <c r="J48" s="15">
        <f t="shared" si="3"/>
        <v>0</v>
      </c>
      <c r="K48" s="16">
        <v>6.14</v>
      </c>
      <c r="M48" s="17"/>
      <c r="N48" s="17">
        <f>G48*F48</f>
        <v>0</v>
      </c>
      <c r="O48" s="18">
        <f>H48*F48</f>
        <v>0</v>
      </c>
      <c r="P48" s="18"/>
      <c r="Q48" s="18"/>
    </row>
    <row r="49" spans="1:17" ht="22.5" x14ac:dyDescent="0.2">
      <c r="A49" s="11" t="s">
        <v>132</v>
      </c>
      <c r="B49" s="12">
        <v>88489</v>
      </c>
      <c r="C49" s="13" t="s">
        <v>133</v>
      </c>
      <c r="D49" s="12" t="s">
        <v>40</v>
      </c>
      <c r="E49" s="12" t="s">
        <v>127</v>
      </c>
      <c r="F49" s="14">
        <v>2</v>
      </c>
      <c r="G49" s="21"/>
      <c r="H49" s="15">
        <f>ROUND(G49*'BDI Serviços'!$D$32,2)</f>
        <v>0</v>
      </c>
      <c r="I49" s="15">
        <f t="shared" si="2"/>
        <v>0</v>
      </c>
      <c r="J49" s="15">
        <f t="shared" si="3"/>
        <v>0</v>
      </c>
      <c r="K49" s="16">
        <v>31.52</v>
      </c>
      <c r="M49" s="17"/>
      <c r="N49" s="17">
        <f>G49*F49</f>
        <v>0</v>
      </c>
      <c r="O49" s="18">
        <f>H49*F49</f>
        <v>0</v>
      </c>
      <c r="P49" s="18"/>
      <c r="Q49" s="18"/>
    </row>
    <row r="50" spans="1:17" ht="22.5" x14ac:dyDescent="0.2">
      <c r="A50" s="11" t="s">
        <v>134</v>
      </c>
      <c r="B50" s="12">
        <v>90436</v>
      </c>
      <c r="C50" s="13" t="s">
        <v>135</v>
      </c>
      <c r="D50" s="12" t="s">
        <v>40</v>
      </c>
      <c r="E50" s="12" t="s">
        <v>32</v>
      </c>
      <c r="F50" s="14">
        <v>5</v>
      </c>
      <c r="G50" s="21"/>
      <c r="H50" s="15">
        <f>ROUND(G50*'BDI Serviços'!$D$32,2)</f>
        <v>0</v>
      </c>
      <c r="I50" s="15">
        <f t="shared" si="2"/>
        <v>0</v>
      </c>
      <c r="J50" s="15">
        <f t="shared" si="3"/>
        <v>0</v>
      </c>
      <c r="K50" s="16">
        <v>69.75</v>
      </c>
      <c r="M50" s="17"/>
      <c r="N50" s="17"/>
      <c r="O50" s="18"/>
      <c r="P50" s="18"/>
      <c r="Q50" s="18"/>
    </row>
    <row r="51" spans="1:17" ht="22.5" x14ac:dyDescent="0.2">
      <c r="A51" s="11" t="s">
        <v>136</v>
      </c>
      <c r="B51" s="19" t="s">
        <v>137</v>
      </c>
      <c r="C51" s="13" t="s">
        <v>138</v>
      </c>
      <c r="D51" s="12" t="s">
        <v>31</v>
      </c>
      <c r="E51" s="12" t="s">
        <v>32</v>
      </c>
      <c r="F51" s="14">
        <v>0.5</v>
      </c>
      <c r="G51" s="21"/>
      <c r="H51" s="15">
        <f>ROUND(G51*'BDI Serviços'!$D$32,2)</f>
        <v>0</v>
      </c>
      <c r="I51" s="15">
        <f t="shared" si="2"/>
        <v>0</v>
      </c>
      <c r="J51" s="15">
        <f t="shared" si="3"/>
        <v>0</v>
      </c>
      <c r="K51" s="16">
        <v>38.200000000000003</v>
      </c>
      <c r="M51" s="17"/>
      <c r="N51" s="17"/>
      <c r="O51" s="18"/>
      <c r="P51" s="18"/>
      <c r="Q51" s="18"/>
    </row>
    <row r="52" spans="1:17" x14ac:dyDescent="0.2">
      <c r="A52" s="8">
        <v>4</v>
      </c>
      <c r="B52" s="123" t="str">
        <f>"FORNECIMENTO DE MATERIAIS E EQUIPAMENTOS – BDI REDUZIDO ("&amp;'BDI Materiais'!D32*100&amp;"%)"</f>
        <v>FORNECIMENTO DE MATERIAIS E EQUIPAMENTOS – BDI REDUZIDO (8,87%)</v>
      </c>
      <c r="C52" s="123"/>
      <c r="D52" s="123"/>
      <c r="E52" s="123"/>
      <c r="F52" s="123"/>
      <c r="G52" s="123"/>
      <c r="H52" s="123"/>
      <c r="I52" s="123"/>
      <c r="J52" s="9">
        <f>SUM(J53:J54)</f>
        <v>0</v>
      </c>
      <c r="K52" s="10">
        <v>28019</v>
      </c>
      <c r="M52" s="17">
        <f>F53*G53+F54*G54+F55*G55+F56*G56+F57*G57</f>
        <v>0</v>
      </c>
      <c r="N52" s="17"/>
      <c r="O52" s="18"/>
      <c r="P52" s="18"/>
      <c r="Q52" s="18"/>
    </row>
    <row r="53" spans="1:17" ht="22.5" x14ac:dyDescent="0.2">
      <c r="A53" s="22" t="s">
        <v>139</v>
      </c>
      <c r="B53" s="23" t="s">
        <v>140</v>
      </c>
      <c r="C53" s="13" t="s">
        <v>254</v>
      </c>
      <c r="D53" s="23" t="s">
        <v>31</v>
      </c>
      <c r="E53" s="23" t="s">
        <v>32</v>
      </c>
      <c r="F53" s="14">
        <v>4</v>
      </c>
      <c r="G53" s="21"/>
      <c r="H53" s="15">
        <f>ROUND(G53*'BDI Materiais'!$D$32,2)</f>
        <v>0</v>
      </c>
      <c r="I53" s="15">
        <f>ROUND(G53+H53,2)</f>
        <v>0</v>
      </c>
      <c r="J53" s="15">
        <f>ROUND(I53*F53,2)</f>
        <v>0</v>
      </c>
      <c r="K53" s="16">
        <v>27699</v>
      </c>
      <c r="M53" s="17"/>
      <c r="N53" s="17">
        <f>G53*F53</f>
        <v>0</v>
      </c>
      <c r="O53" s="18">
        <f>H53*F53</f>
        <v>0</v>
      </c>
      <c r="P53" s="18"/>
      <c r="Q53" s="18"/>
    </row>
    <row r="54" spans="1:17" ht="22.5" x14ac:dyDescent="0.2">
      <c r="A54" s="22" t="s">
        <v>141</v>
      </c>
      <c r="B54" s="23" t="s">
        <v>142</v>
      </c>
      <c r="C54" s="13" t="s">
        <v>255</v>
      </c>
      <c r="D54" s="23" t="s">
        <v>31</v>
      </c>
      <c r="E54" s="23" t="s">
        <v>32</v>
      </c>
      <c r="F54" s="14">
        <v>1</v>
      </c>
      <c r="G54" s="21"/>
      <c r="H54" s="15">
        <f>ROUND(G54*'BDI Materiais'!$D$32,2)</f>
        <v>0</v>
      </c>
      <c r="I54" s="15">
        <f>ROUND(G54+H54,2)</f>
        <v>0</v>
      </c>
      <c r="J54" s="15">
        <f>ROUND(I54*F54,2)</f>
        <v>0</v>
      </c>
      <c r="K54" s="16">
        <v>320</v>
      </c>
      <c r="M54" s="17"/>
      <c r="N54" s="17">
        <f>G54*F54</f>
        <v>0</v>
      </c>
      <c r="O54" s="18">
        <f>H54*F54</f>
        <v>0</v>
      </c>
      <c r="P54" s="18"/>
      <c r="Q54" s="18"/>
    </row>
    <row r="55" spans="1:17" ht="13.9" customHeight="1" x14ac:dyDescent="0.2">
      <c r="A55" s="8">
        <v>5</v>
      </c>
      <c r="B55" s="123" t="s">
        <v>143</v>
      </c>
      <c r="C55" s="123"/>
      <c r="D55" s="123"/>
      <c r="E55" s="123"/>
      <c r="F55" s="123"/>
      <c r="G55" s="123"/>
      <c r="H55" s="123"/>
      <c r="I55" s="123"/>
      <c r="J55" s="9">
        <f>SUM(J56:J57)</f>
        <v>0</v>
      </c>
      <c r="K55" s="10">
        <v>860.36</v>
      </c>
      <c r="M55" s="17">
        <f>F56*G56+F57*G57</f>
        <v>0</v>
      </c>
      <c r="N55" s="17"/>
      <c r="O55" s="18"/>
      <c r="P55" s="18"/>
      <c r="Q55" s="18"/>
    </row>
    <row r="56" spans="1:17" x14ac:dyDescent="0.2">
      <c r="A56" s="11" t="s">
        <v>144</v>
      </c>
      <c r="B56" s="19" t="s">
        <v>145</v>
      </c>
      <c r="C56" s="13" t="s">
        <v>146</v>
      </c>
      <c r="D56" s="12" t="s">
        <v>31</v>
      </c>
      <c r="E56" s="12" t="s">
        <v>32</v>
      </c>
      <c r="F56" s="14">
        <v>1</v>
      </c>
      <c r="G56" s="21"/>
      <c r="H56" s="15">
        <f>ROUND(G56*'BDI Serviços'!$D$32,2)</f>
        <v>0</v>
      </c>
      <c r="I56" s="15">
        <f>ROUND(G56+H56,2)</f>
        <v>0</v>
      </c>
      <c r="J56" s="15">
        <f>ROUND(I56*F56,2)</f>
        <v>0</v>
      </c>
      <c r="K56" s="16">
        <v>639.57000000000005</v>
      </c>
      <c r="M56" s="17"/>
      <c r="N56" s="17">
        <f>G56*F56</f>
        <v>0</v>
      </c>
      <c r="O56" s="18">
        <f>H56*F56</f>
        <v>0</v>
      </c>
      <c r="P56" s="18"/>
      <c r="Q56" s="18"/>
    </row>
    <row r="57" spans="1:17" x14ac:dyDescent="0.2">
      <c r="A57" s="11" t="s">
        <v>147</v>
      </c>
      <c r="B57" s="19" t="s">
        <v>148</v>
      </c>
      <c r="C57" s="13" t="s">
        <v>149</v>
      </c>
      <c r="D57" s="12" t="s">
        <v>31</v>
      </c>
      <c r="E57" s="12" t="s">
        <v>32</v>
      </c>
      <c r="F57" s="14">
        <v>1</v>
      </c>
      <c r="G57" s="21"/>
      <c r="H57" s="15">
        <f>ROUND(G57*'BDI Serviços'!$D$32,2)</f>
        <v>0</v>
      </c>
      <c r="I57" s="15">
        <f>ROUND(G57+H57,2)</f>
        <v>0</v>
      </c>
      <c r="J57" s="15">
        <f>ROUND(I57*F57,2)</f>
        <v>0</v>
      </c>
      <c r="K57" s="16">
        <v>220.79</v>
      </c>
      <c r="M57" s="17"/>
      <c r="N57" s="17">
        <f>G57*F57</f>
        <v>0</v>
      </c>
      <c r="O57" s="18">
        <f>H57*F57</f>
        <v>0</v>
      </c>
      <c r="P57" s="18"/>
      <c r="Q57" s="18"/>
    </row>
    <row r="58" spans="1:17" ht="13.9" customHeight="1" x14ac:dyDescent="0.2">
      <c r="A58" s="118" t="s">
        <v>150</v>
      </c>
      <c r="B58" s="118"/>
      <c r="C58" s="118"/>
      <c r="D58" s="118"/>
      <c r="E58" s="118"/>
      <c r="F58" s="118"/>
      <c r="G58" s="119" t="s">
        <v>151</v>
      </c>
      <c r="H58" s="119"/>
      <c r="I58" s="119"/>
      <c r="J58" s="24">
        <f>F12*G12+F14*G14+F15*G15+F16*G16+F17*G17+F18*G18+F19*G19+F20*G20+F21*G21+F22*G22+F23*G23+F24*G24+F25*G25+F26*G26+F27*G27+F28*G28+F29*G29+F30*G30+F31*G31+F32*G32+F33*G33+F34*G34+F35*G35+F36*G36+F37*G37+F38*G38+F39*G39+F40*G40+F42*G42+F43*G43+F44*G44+F45*G45+F46*G46+F47*G47+F48*G48+F49*G49+F50*G50+F51*G51+F53*G53+F54*G54+F56*G56+F57*G57</f>
        <v>233.94</v>
      </c>
      <c r="K58" s="25">
        <v>44155.006000000001</v>
      </c>
      <c r="M58" s="17">
        <f>F12*G12</f>
        <v>233.94</v>
      </c>
      <c r="N58" s="17"/>
      <c r="O58" s="18"/>
      <c r="P58" s="18"/>
      <c r="Q58" s="18"/>
    </row>
    <row r="59" spans="1:17" ht="13.9" customHeight="1" x14ac:dyDescent="0.2">
      <c r="A59" s="118"/>
      <c r="B59" s="118"/>
      <c r="C59" s="118"/>
      <c r="D59" s="118"/>
      <c r="E59" s="118"/>
      <c r="F59" s="118"/>
      <c r="G59" s="120" t="s">
        <v>152</v>
      </c>
      <c r="H59" s="120"/>
      <c r="I59" s="120"/>
      <c r="J59" s="24">
        <f>F12*H12+F14*H14+F15*H15+F16*H16+F17*H17+F18*H18+F19*H19+F20*H20+F21*H21+F22*H22+F23*H23+F24*H24+F25*H25+F26*H26+F27*H27+F28*H28+F29*H29+F30*H30+F31*H31+F32*H32+F33*H33+F34*H34+F35*H35+F36*H36+F37*H37+F38*H38+F39*H39+F40*H40+F42*H42+F43*H43+F44*H44+F45*H45+F46*H46+F47*H47+F48*H48+F49*H49+F50*H50+F51*H51+F53*H53+F54*H54+F56*H56+F57*H57</f>
        <v>35.42</v>
      </c>
      <c r="K59" s="25">
        <v>11436.037000000002</v>
      </c>
      <c r="M59" s="17">
        <f>J58+J59</f>
        <v>269.36</v>
      </c>
      <c r="N59" s="17"/>
      <c r="O59" s="26"/>
    </row>
    <row r="60" spans="1:17" ht="13.9" customHeight="1" x14ac:dyDescent="0.2">
      <c r="A60" s="118"/>
      <c r="B60" s="118"/>
      <c r="C60" s="118"/>
      <c r="D60" s="118"/>
      <c r="E60" s="118"/>
      <c r="F60" s="118"/>
      <c r="G60" s="120" t="s">
        <v>153</v>
      </c>
      <c r="H60" s="120"/>
      <c r="I60" s="120"/>
      <c r="J60" s="24">
        <f>J11+J13+J41+J52+J55</f>
        <v>269.36</v>
      </c>
      <c r="K60" s="25">
        <v>55591.06</v>
      </c>
      <c r="M60" s="17">
        <f>J60-M59</f>
        <v>0</v>
      </c>
      <c r="N60" s="17"/>
    </row>
    <row r="61" spans="1:17" x14ac:dyDescent="0.2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</row>
    <row r="62" spans="1:17" ht="13.9" customHeight="1" x14ac:dyDescent="0.2">
      <c r="A62" s="115" t="s">
        <v>154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7" x14ac:dyDescent="0.2">
      <c r="A63" s="116" t="s">
        <v>155</v>
      </c>
      <c r="B63" s="116"/>
      <c r="C63" s="116"/>
      <c r="D63" s="116"/>
      <c r="E63" s="116"/>
      <c r="F63" s="116"/>
      <c r="G63" s="116"/>
      <c r="H63" s="116"/>
      <c r="I63" s="116"/>
      <c r="J63" s="116"/>
      <c r="K63" s="27">
        <f>J60-J12</f>
        <v>0</v>
      </c>
    </row>
    <row r="64" spans="1:17" x14ac:dyDescent="0.2">
      <c r="A64" s="116" t="s">
        <v>156</v>
      </c>
      <c r="B64" s="116"/>
      <c r="C64" s="116"/>
      <c r="D64" s="116"/>
      <c r="E64" s="116"/>
      <c r="F64" s="116"/>
      <c r="G64" s="116"/>
      <c r="H64" s="116"/>
      <c r="I64" s="116"/>
      <c r="J64" s="116"/>
      <c r="K64" s="27">
        <f>K60-K12</f>
        <v>55282.59</v>
      </c>
    </row>
    <row r="65" spans="1:11" x14ac:dyDescent="0.2">
      <c r="A65" s="116" t="s">
        <v>157</v>
      </c>
      <c r="B65" s="116"/>
      <c r="C65" s="116"/>
      <c r="D65" s="116"/>
      <c r="E65" s="116"/>
      <c r="F65" s="116"/>
      <c r="G65" s="116"/>
      <c r="H65" s="116"/>
      <c r="I65" s="116"/>
      <c r="J65" s="116"/>
      <c r="K65" s="28">
        <f>1 - K63/K64</f>
        <v>1</v>
      </c>
    </row>
    <row r="66" spans="1:11" x14ac:dyDescent="0.2">
      <c r="A66" s="29"/>
      <c r="B66" s="30"/>
      <c r="C66" s="30"/>
      <c r="D66" s="30"/>
      <c r="E66" s="30"/>
      <c r="F66" s="30"/>
      <c r="G66" s="30"/>
      <c r="H66" s="30"/>
      <c r="I66" s="30"/>
      <c r="J66" s="31"/>
      <c r="K66" s="32"/>
    </row>
    <row r="67" spans="1:11" x14ac:dyDescent="0.2">
      <c r="A67" s="29"/>
      <c r="B67" s="30"/>
      <c r="C67" s="30"/>
      <c r="D67" s="30"/>
      <c r="E67" s="30"/>
      <c r="F67" s="30"/>
      <c r="G67" s="30"/>
      <c r="H67" s="30"/>
      <c r="I67" s="30"/>
      <c r="J67" s="31"/>
      <c r="K67" s="32"/>
    </row>
    <row r="68" spans="1:11" x14ac:dyDescent="0.2">
      <c r="A68" s="29"/>
      <c r="B68" s="30"/>
      <c r="C68" s="30"/>
      <c r="D68" s="30"/>
      <c r="E68" s="30"/>
      <c r="F68" s="30"/>
      <c r="G68" s="30"/>
      <c r="H68" s="30"/>
      <c r="I68" s="30"/>
      <c r="J68" s="31"/>
      <c r="K68" s="32"/>
    </row>
    <row r="69" spans="1:11" x14ac:dyDescent="0.2">
      <c r="A69" s="117" t="s">
        <v>158</v>
      </c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x14ac:dyDescent="0.2">
      <c r="A70" s="29"/>
      <c r="B70" s="30"/>
      <c r="C70" s="30"/>
      <c r="D70" s="30"/>
      <c r="E70" s="30"/>
      <c r="F70" s="30"/>
      <c r="G70" s="30"/>
      <c r="H70" s="30"/>
      <c r="I70" s="30"/>
      <c r="J70" s="31"/>
      <c r="K70" s="32"/>
    </row>
    <row r="71" spans="1:11" x14ac:dyDescent="0.2">
      <c r="A71" s="29"/>
      <c r="B71" s="30"/>
      <c r="C71" s="33"/>
      <c r="D71" s="30"/>
      <c r="E71" s="30"/>
      <c r="F71" s="34"/>
      <c r="G71" s="34"/>
      <c r="H71" s="34"/>
      <c r="I71" s="34"/>
      <c r="J71" s="31"/>
      <c r="K71" s="32"/>
    </row>
    <row r="72" spans="1:11" x14ac:dyDescent="0.2">
      <c r="A72" s="29"/>
      <c r="B72" s="30"/>
      <c r="C72" s="35"/>
      <c r="D72" s="113" t="s">
        <v>159</v>
      </c>
      <c r="E72" s="113"/>
      <c r="F72" s="113"/>
      <c r="G72" s="113"/>
      <c r="H72" s="36"/>
      <c r="I72" s="36"/>
      <c r="J72" s="31"/>
      <c r="K72" s="32"/>
    </row>
    <row r="73" spans="1:11" x14ac:dyDescent="0.2">
      <c r="A73" s="29"/>
      <c r="B73" s="30"/>
      <c r="C73" s="35"/>
      <c r="D73" s="114" t="s">
        <v>160</v>
      </c>
      <c r="E73" s="114"/>
      <c r="F73" s="114"/>
      <c r="G73" s="114"/>
      <c r="H73" s="36"/>
      <c r="I73" s="36"/>
      <c r="J73" s="31"/>
      <c r="K73" s="32"/>
    </row>
    <row r="74" spans="1:11" x14ac:dyDescent="0.2">
      <c r="A74" s="29"/>
      <c r="B74" s="30"/>
      <c r="C74" s="37"/>
      <c r="D74" s="114" t="s">
        <v>161</v>
      </c>
      <c r="E74" s="114"/>
      <c r="F74" s="114"/>
      <c r="G74" s="114"/>
      <c r="H74" s="38"/>
      <c r="I74" s="38"/>
      <c r="J74" s="31"/>
      <c r="K74" s="32"/>
    </row>
    <row r="75" spans="1:11" x14ac:dyDescent="0.2">
      <c r="A75" s="29"/>
      <c r="B75" s="30"/>
      <c r="C75" s="37"/>
      <c r="D75" s="30"/>
      <c r="E75" s="30"/>
      <c r="F75" s="38"/>
      <c r="G75" s="38"/>
      <c r="H75" s="38"/>
      <c r="I75" s="38"/>
      <c r="J75" s="31"/>
      <c r="K75" s="32"/>
    </row>
    <row r="76" spans="1:11" x14ac:dyDescent="0.2">
      <c r="A76" s="39"/>
      <c r="B76" s="40"/>
      <c r="C76" s="41"/>
      <c r="D76" s="40"/>
      <c r="E76" s="40"/>
      <c r="F76" s="40"/>
      <c r="G76" s="40"/>
      <c r="H76" s="40"/>
      <c r="I76" s="40"/>
      <c r="J76" s="40"/>
      <c r="K76" s="42"/>
    </row>
  </sheetData>
  <mergeCells count="53">
    <mergeCell ref="A1:K1"/>
    <mergeCell ref="A2:B2"/>
    <mergeCell ref="C2:I2"/>
    <mergeCell ref="J2:K6"/>
    <mergeCell ref="Q2:Z2"/>
    <mergeCell ref="A3:B3"/>
    <mergeCell ref="C3:E3"/>
    <mergeCell ref="F3:G3"/>
    <mergeCell ref="H3:I3"/>
    <mergeCell ref="A4:B4"/>
    <mergeCell ref="C4:I4"/>
    <mergeCell ref="A5:B5"/>
    <mergeCell ref="C5:E5"/>
    <mergeCell ref="F5:G5"/>
    <mergeCell ref="H5:I5"/>
    <mergeCell ref="A6:B6"/>
    <mergeCell ref="C6:E6"/>
    <mergeCell ref="F6:G6"/>
    <mergeCell ref="H6:I6"/>
    <mergeCell ref="A7:B7"/>
    <mergeCell ref="C7:E7"/>
    <mergeCell ref="F7:G7"/>
    <mergeCell ref="I7:J7"/>
    <mergeCell ref="Q7:V7"/>
    <mergeCell ref="A8:J8"/>
    <mergeCell ref="A9:A10"/>
    <mergeCell ref="B9:B10"/>
    <mergeCell ref="C9:C10"/>
    <mergeCell ref="D9:D10"/>
    <mergeCell ref="E9:E10"/>
    <mergeCell ref="F9:F10"/>
    <mergeCell ref="G9:G10"/>
    <mergeCell ref="H9:H10"/>
    <mergeCell ref="J9:J10"/>
    <mergeCell ref="K9:K10"/>
    <mergeCell ref="B11:I11"/>
    <mergeCell ref="B13:I13"/>
    <mergeCell ref="B41:I41"/>
    <mergeCell ref="B52:I52"/>
    <mergeCell ref="B55:I55"/>
    <mergeCell ref="A58:F60"/>
    <mergeCell ref="G58:I58"/>
    <mergeCell ref="G59:I59"/>
    <mergeCell ref="G60:I60"/>
    <mergeCell ref="A61:K61"/>
    <mergeCell ref="D72:G72"/>
    <mergeCell ref="D73:G73"/>
    <mergeCell ref="D74:G74"/>
    <mergeCell ref="A62:K62"/>
    <mergeCell ref="A63:J63"/>
    <mergeCell ref="A64:J64"/>
    <mergeCell ref="A65:J65"/>
    <mergeCell ref="A69:K69"/>
  </mergeCells>
  <printOptions horizontalCentered="1"/>
  <pageMargins left="0.15763888888888899" right="0.15763888888888899" top="0.39374999999999999" bottom="0.27569444444444402" header="0.51180555555555496" footer="0.51180555555555496"/>
  <pageSetup paperSize="9" scale="6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view="pageBreakPreview" topLeftCell="A34" zoomScale="110" zoomScaleNormal="140" zoomScalePageLayoutView="110" workbookViewId="0">
      <selection activeCell="A35" sqref="A35:B35"/>
    </sheetView>
  </sheetViews>
  <sheetFormatPr defaultColWidth="8" defaultRowHeight="14.25" x14ac:dyDescent="0.2"/>
  <cols>
    <col min="1" max="1" width="8.375" customWidth="1"/>
    <col min="2" max="2" width="79.75" customWidth="1"/>
    <col min="3" max="3" width="10.75" customWidth="1"/>
    <col min="4" max="4" width="14.125" customWidth="1"/>
    <col min="5" max="5" width="32.875" customWidth="1"/>
    <col min="6" max="6" width="44.875" customWidth="1"/>
    <col min="7" max="7" width="42.25" customWidth="1"/>
  </cols>
  <sheetData>
    <row r="1" spans="1:8" ht="17.45" customHeight="1" x14ac:dyDescent="0.25">
      <c r="A1" s="153" t="s">
        <v>162</v>
      </c>
      <c r="B1" s="153"/>
      <c r="C1" s="153"/>
      <c r="D1" s="153"/>
    </row>
    <row r="2" spans="1:8" ht="15" customHeight="1" x14ac:dyDescent="0.2">
      <c r="A2" s="154" t="s">
        <v>163</v>
      </c>
      <c r="B2" s="154"/>
      <c r="C2" s="154"/>
      <c r="D2" s="154"/>
    </row>
    <row r="3" spans="1:8" ht="24.4" customHeight="1" x14ac:dyDescent="0.2">
      <c r="A3" s="43" t="s">
        <v>1</v>
      </c>
      <c r="B3" s="44" t="str">
        <f>'PROPOSTA - CUSTOS E VALORES'!C2</f>
        <v>Contratação de escopo de empresa especializada para executar a obra de iluminação cênica da fachada frontal do Edifício-sede deste Egrégio Tribunal Regional do Trabalho da 3ª Região</v>
      </c>
      <c r="C3" s="155" t="s">
        <v>3</v>
      </c>
      <c r="D3" s="155"/>
    </row>
    <row r="4" spans="1:8" x14ac:dyDescent="0.2">
      <c r="A4" s="45" t="s">
        <v>7</v>
      </c>
      <c r="B4" s="46">
        <f>'PROPOSTA - CUSTOS E VALORES'!C4</f>
        <v>0</v>
      </c>
      <c r="C4" s="155"/>
      <c r="D4" s="155"/>
    </row>
    <row r="5" spans="1:8" x14ac:dyDescent="0.2">
      <c r="A5" s="43" t="s">
        <v>10</v>
      </c>
      <c r="B5" s="46">
        <f>'PROPOSTA - CUSTOS E VALORES'!C6</f>
        <v>0</v>
      </c>
      <c r="C5" s="155"/>
      <c r="D5" s="155"/>
    </row>
    <row r="6" spans="1:8" x14ac:dyDescent="0.2">
      <c r="A6" s="43" t="s">
        <v>164</v>
      </c>
      <c r="B6" s="47">
        <f>'PROPOSTA - CUSTOS E VALORES'!H6</f>
        <v>0</v>
      </c>
      <c r="C6" s="155"/>
      <c r="D6" s="155"/>
      <c r="G6" s="48"/>
      <c r="H6" s="48"/>
    </row>
    <row r="7" spans="1:8" x14ac:dyDescent="0.2">
      <c r="A7" s="150"/>
      <c r="B7" s="150"/>
      <c r="C7" s="150"/>
      <c r="D7" s="150"/>
      <c r="G7" s="48"/>
      <c r="H7" s="48"/>
    </row>
    <row r="8" spans="1:8" x14ac:dyDescent="0.2">
      <c r="A8" s="49" t="s">
        <v>16</v>
      </c>
      <c r="B8" s="50" t="s">
        <v>165</v>
      </c>
      <c r="C8" s="51"/>
      <c r="D8" s="52"/>
      <c r="G8" s="48"/>
      <c r="H8" s="48"/>
    </row>
    <row r="9" spans="1:8" x14ac:dyDescent="0.2">
      <c r="A9" s="152"/>
      <c r="B9" s="152"/>
      <c r="C9" s="152"/>
      <c r="D9" s="152"/>
      <c r="G9" s="48"/>
      <c r="H9" s="48"/>
    </row>
    <row r="10" spans="1:8" x14ac:dyDescent="0.2">
      <c r="A10" s="53" t="s">
        <v>166</v>
      </c>
      <c r="B10" s="54" t="s">
        <v>167</v>
      </c>
      <c r="C10" s="55" t="s">
        <v>168</v>
      </c>
      <c r="D10" s="56" t="s">
        <v>169</v>
      </c>
    </row>
    <row r="11" spans="1:8" x14ac:dyDescent="0.2">
      <c r="A11" s="49" t="s">
        <v>170</v>
      </c>
      <c r="B11" s="57" t="s">
        <v>171</v>
      </c>
      <c r="C11" s="58" t="s">
        <v>172</v>
      </c>
      <c r="D11" s="59">
        <v>0.65</v>
      </c>
    </row>
    <row r="12" spans="1:8" x14ac:dyDescent="0.2">
      <c r="A12" s="60" t="s">
        <v>173</v>
      </c>
      <c r="B12" s="57" t="s">
        <v>174</v>
      </c>
      <c r="C12" s="58" t="s">
        <v>175</v>
      </c>
      <c r="D12" s="59">
        <v>3</v>
      </c>
    </row>
    <row r="13" spans="1:8" x14ac:dyDescent="0.2">
      <c r="A13" s="49" t="s">
        <v>176</v>
      </c>
      <c r="B13" s="61" t="s">
        <v>177</v>
      </c>
      <c r="C13" s="62" t="s">
        <v>178</v>
      </c>
      <c r="D13" s="63">
        <v>5</v>
      </c>
    </row>
    <row r="14" spans="1:8" x14ac:dyDescent="0.2">
      <c r="A14" s="49" t="s">
        <v>179</v>
      </c>
      <c r="B14" s="57" t="s">
        <v>180</v>
      </c>
      <c r="C14" s="58" t="s">
        <v>181</v>
      </c>
      <c r="D14" s="59">
        <v>4.5</v>
      </c>
    </row>
    <row r="15" spans="1:8" ht="13.9" customHeight="1" x14ac:dyDescent="0.2">
      <c r="A15" s="151" t="s">
        <v>182</v>
      </c>
      <c r="B15" s="151"/>
      <c r="C15" s="151"/>
      <c r="D15" s="59">
        <f>SUM(D11:D14)</f>
        <v>13.15</v>
      </c>
    </row>
    <row r="16" spans="1:8" x14ac:dyDescent="0.2">
      <c r="A16" s="152"/>
      <c r="B16" s="152"/>
      <c r="C16" s="152"/>
      <c r="D16" s="152"/>
    </row>
    <row r="17" spans="1:8" x14ac:dyDescent="0.2">
      <c r="A17" s="53" t="s">
        <v>183</v>
      </c>
      <c r="B17" s="54" t="s">
        <v>184</v>
      </c>
      <c r="C17" s="55" t="s">
        <v>168</v>
      </c>
      <c r="D17" s="56" t="s">
        <v>169</v>
      </c>
    </row>
    <row r="18" spans="1:8" x14ac:dyDescent="0.2">
      <c r="A18" s="49" t="s">
        <v>185</v>
      </c>
      <c r="B18" s="57" t="s">
        <v>186</v>
      </c>
      <c r="C18" s="58" t="s">
        <v>187</v>
      </c>
      <c r="D18" s="64"/>
    </row>
    <row r="19" spans="1:8" x14ac:dyDescent="0.2">
      <c r="A19" s="60" t="s">
        <v>188</v>
      </c>
      <c r="B19" s="57" t="s">
        <v>189</v>
      </c>
      <c r="C19" s="58" t="s">
        <v>190</v>
      </c>
      <c r="D19" s="64"/>
    </row>
    <row r="20" spans="1:8" x14ac:dyDescent="0.2">
      <c r="A20" s="60" t="s">
        <v>191</v>
      </c>
      <c r="B20" s="57" t="s">
        <v>192</v>
      </c>
      <c r="C20" s="58" t="s">
        <v>193</v>
      </c>
      <c r="D20" s="64"/>
    </row>
    <row r="21" spans="1:8" x14ac:dyDescent="0.2">
      <c r="A21" s="60" t="s">
        <v>194</v>
      </c>
      <c r="B21" s="57" t="s">
        <v>195</v>
      </c>
      <c r="C21" s="58" t="s">
        <v>193</v>
      </c>
      <c r="D21" s="64"/>
    </row>
    <row r="22" spans="1:8" ht="13.9" customHeight="1" x14ac:dyDescent="0.2">
      <c r="A22" s="151" t="s">
        <v>182</v>
      </c>
      <c r="B22" s="151"/>
      <c r="C22" s="151"/>
      <c r="D22" s="59">
        <f>SUM(D18:D21)</f>
        <v>0</v>
      </c>
    </row>
    <row r="23" spans="1:8" x14ac:dyDescent="0.2">
      <c r="A23" s="150"/>
      <c r="B23" s="150"/>
      <c r="C23" s="150"/>
      <c r="D23" s="150"/>
    </row>
    <row r="24" spans="1:8" x14ac:dyDescent="0.2">
      <c r="A24" s="65" t="s">
        <v>196</v>
      </c>
      <c r="B24" s="54" t="s">
        <v>197</v>
      </c>
      <c r="C24" s="55" t="s">
        <v>168</v>
      </c>
      <c r="D24" s="56" t="s">
        <v>169</v>
      </c>
    </row>
    <row r="25" spans="1:8" x14ac:dyDescent="0.2">
      <c r="A25" s="60" t="s">
        <v>198</v>
      </c>
      <c r="B25" s="61" t="s">
        <v>199</v>
      </c>
      <c r="C25" s="62" t="s">
        <v>200</v>
      </c>
      <c r="D25" s="66"/>
    </row>
    <row r="26" spans="1:8" ht="13.9" customHeight="1" x14ac:dyDescent="0.2">
      <c r="A26" s="151" t="s">
        <v>182</v>
      </c>
      <c r="B26" s="151"/>
      <c r="C26" s="151"/>
      <c r="D26" s="59">
        <f>SUM(D25)</f>
        <v>0</v>
      </c>
    </row>
    <row r="27" spans="1:8" x14ac:dyDescent="0.2">
      <c r="A27" s="150"/>
      <c r="B27" s="150"/>
      <c r="C27" s="150"/>
      <c r="D27" s="150"/>
    </row>
    <row r="28" spans="1:8" x14ac:dyDescent="0.2">
      <c r="A28" s="65" t="s">
        <v>201</v>
      </c>
      <c r="B28" s="54" t="s">
        <v>202</v>
      </c>
      <c r="C28" s="55" t="s">
        <v>168</v>
      </c>
      <c r="D28" s="56" t="s">
        <v>169</v>
      </c>
    </row>
    <row r="29" spans="1:8" x14ac:dyDescent="0.2">
      <c r="A29" s="60" t="s">
        <v>203</v>
      </c>
      <c r="B29" s="57" t="s">
        <v>204</v>
      </c>
      <c r="C29" s="58" t="s">
        <v>205</v>
      </c>
      <c r="D29" s="64"/>
    </row>
    <row r="30" spans="1:8" ht="13.9" customHeight="1" x14ac:dyDescent="0.2">
      <c r="A30" s="151" t="s">
        <v>182</v>
      </c>
      <c r="B30" s="151"/>
      <c r="C30" s="151"/>
      <c r="D30" s="59">
        <f>SUM(D29)</f>
        <v>0</v>
      </c>
    </row>
    <row r="31" spans="1:8" x14ac:dyDescent="0.2">
      <c r="A31" s="150"/>
      <c r="B31" s="150"/>
      <c r="C31" s="150"/>
      <c r="D31" s="150"/>
      <c r="H31">
        <v>0.52</v>
      </c>
    </row>
    <row r="32" spans="1:8" ht="13.9" customHeight="1" x14ac:dyDescent="0.2">
      <c r="A32" s="151" t="s">
        <v>206</v>
      </c>
      <c r="B32" s="151"/>
      <c r="C32" s="151"/>
      <c r="D32" s="67">
        <f>ROUNDDOWN((1+(D22/100))*(1+D26/100)*(1+D30/100)/(1-D15/100) -1,4)</f>
        <v>0.15140000000000001</v>
      </c>
      <c r="H32">
        <v>0.47</v>
      </c>
    </row>
    <row r="33" spans="1:8" x14ac:dyDescent="0.2">
      <c r="A33" s="148"/>
      <c r="B33" s="148"/>
      <c r="C33" s="68"/>
      <c r="D33" s="69"/>
      <c r="H33">
        <v>0.56999999999999995</v>
      </c>
    </row>
    <row r="34" spans="1:8" ht="16.5" x14ac:dyDescent="0.25">
      <c r="A34" s="149" t="s">
        <v>207</v>
      </c>
      <c r="B34" s="149"/>
      <c r="C34" s="68"/>
      <c r="D34" s="69"/>
      <c r="H34">
        <v>0.5</v>
      </c>
    </row>
    <row r="35" spans="1:8" x14ac:dyDescent="0.2">
      <c r="A35" s="146" t="s">
        <v>208</v>
      </c>
      <c r="B35" s="146"/>
      <c r="C35" s="68"/>
      <c r="D35" s="69"/>
      <c r="H35">
        <v>0.46</v>
      </c>
    </row>
    <row r="36" spans="1:8" x14ac:dyDescent="0.2">
      <c r="A36" s="148"/>
      <c r="B36" s="148"/>
      <c r="C36" s="68"/>
      <c r="D36" s="69"/>
      <c r="H36">
        <v>0.48</v>
      </c>
    </row>
    <row r="37" spans="1:8" ht="16.5" x14ac:dyDescent="0.25">
      <c r="A37" s="149" t="s">
        <v>209</v>
      </c>
      <c r="B37" s="149"/>
      <c r="C37" s="68"/>
      <c r="D37" s="69"/>
      <c r="H37">
        <v>0.38</v>
      </c>
    </row>
    <row r="38" spans="1:8" x14ac:dyDescent="0.2">
      <c r="A38" s="146" t="s">
        <v>210</v>
      </c>
      <c r="B38" s="146"/>
      <c r="C38" s="68"/>
      <c r="D38" s="69"/>
      <c r="H38">
        <v>0.37</v>
      </c>
    </row>
    <row r="39" spans="1:8" x14ac:dyDescent="0.2">
      <c r="A39" s="146" t="s">
        <v>211</v>
      </c>
      <c r="B39" s="146"/>
      <c r="C39" s="68"/>
      <c r="D39" s="69"/>
      <c r="H39">
        <v>0.38</v>
      </c>
    </row>
    <row r="40" spans="1:8" x14ac:dyDescent="0.2">
      <c r="A40" s="147" t="s">
        <v>212</v>
      </c>
      <c r="B40" s="147"/>
      <c r="C40" s="68"/>
      <c r="D40" s="69"/>
    </row>
    <row r="41" spans="1:8" x14ac:dyDescent="0.2">
      <c r="A41" s="148"/>
      <c r="B41" s="148"/>
      <c r="C41" s="68"/>
      <c r="D41" s="69"/>
      <c r="H41">
        <v>0.28999999999999998</v>
      </c>
    </row>
    <row r="42" spans="1:8" ht="16.5" x14ac:dyDescent="0.25">
      <c r="A42" s="149" t="s">
        <v>213</v>
      </c>
      <c r="B42" s="149"/>
      <c r="C42" s="68"/>
      <c r="D42" s="69"/>
      <c r="H42">
        <v>0.34</v>
      </c>
    </row>
    <row r="43" spans="1:8" ht="13.9" customHeight="1" x14ac:dyDescent="0.2">
      <c r="A43" s="145" t="s">
        <v>214</v>
      </c>
      <c r="B43" s="145"/>
      <c r="C43" s="68"/>
      <c r="D43" s="69"/>
    </row>
    <row r="44" spans="1:8" ht="13.9" customHeight="1" x14ac:dyDescent="0.2">
      <c r="A44" s="145" t="s">
        <v>215</v>
      </c>
      <c r="B44" s="145"/>
      <c r="C44" s="68"/>
      <c r="D44" s="69"/>
    </row>
    <row r="45" spans="1:8" ht="13.9" customHeight="1" x14ac:dyDescent="0.2">
      <c r="A45" s="145" t="s">
        <v>216</v>
      </c>
      <c r="B45" s="145"/>
      <c r="C45" s="68"/>
      <c r="D45" s="69"/>
    </row>
    <row r="46" spans="1:8" ht="13.9" customHeight="1" x14ac:dyDescent="0.2">
      <c r="A46" s="145" t="s">
        <v>217</v>
      </c>
      <c r="B46" s="145"/>
      <c r="C46" s="68"/>
      <c r="D46" s="69"/>
    </row>
    <row r="47" spans="1:8" ht="24.4" customHeight="1" x14ac:dyDescent="0.2">
      <c r="A47" s="145" t="s">
        <v>218</v>
      </c>
      <c r="B47" s="145"/>
      <c r="C47" s="68"/>
      <c r="D47" s="69"/>
    </row>
    <row r="48" spans="1:8" ht="13.9" customHeight="1" x14ac:dyDescent="0.2">
      <c r="A48" s="145" t="s">
        <v>219</v>
      </c>
      <c r="B48" s="145"/>
      <c r="C48" s="68"/>
      <c r="D48" s="69"/>
    </row>
    <row r="49" spans="1:7" ht="36" customHeight="1" x14ac:dyDescent="0.2">
      <c r="A49" s="145" t="s">
        <v>220</v>
      </c>
      <c r="B49" s="145"/>
      <c r="C49" s="68"/>
      <c r="D49" s="69"/>
    </row>
    <row r="50" spans="1:7" ht="13.9" customHeight="1" x14ac:dyDescent="0.2">
      <c r="A50" s="145" t="s">
        <v>221</v>
      </c>
      <c r="B50" s="145"/>
      <c r="C50" s="68"/>
      <c r="D50" s="69"/>
      <c r="G50" s="70">
        <f>(1.04870834905043^(22/252))-1</f>
        <v>4.1606306551416061E-3</v>
      </c>
    </row>
    <row r="51" spans="1:7" ht="13.9" customHeight="1" x14ac:dyDescent="0.2">
      <c r="A51" s="145" t="s">
        <v>222</v>
      </c>
      <c r="B51" s="145"/>
      <c r="C51" s="68"/>
      <c r="D51" s="69"/>
      <c r="G51" s="71"/>
    </row>
    <row r="52" spans="1:7" x14ac:dyDescent="0.2">
      <c r="A52" s="72"/>
      <c r="B52" s="73"/>
      <c r="C52" s="74"/>
      <c r="D52" s="75"/>
    </row>
    <row r="53" spans="1:7" x14ac:dyDescent="0.2">
      <c r="A53" s="72"/>
      <c r="B53" s="73"/>
      <c r="C53" s="74"/>
      <c r="D53" s="75"/>
    </row>
    <row r="54" spans="1:7" x14ac:dyDescent="0.2">
      <c r="A54" s="72"/>
      <c r="B54" s="76" t="str">
        <f>'PROPOSTA - CUSTOS E VALORES'!A69</f>
        <v xml:space="preserve">                                      Belo Horizonte - MG, ____ de _______________ de 2021.</v>
      </c>
      <c r="C54" s="74"/>
      <c r="D54" s="75"/>
    </row>
    <row r="55" spans="1:7" x14ac:dyDescent="0.2">
      <c r="A55" s="72"/>
      <c r="B55" s="73"/>
      <c r="C55" s="74"/>
      <c r="D55" s="75"/>
    </row>
    <row r="56" spans="1:7" x14ac:dyDescent="0.2">
      <c r="A56" s="72"/>
      <c r="B56" s="77" t="s">
        <v>159</v>
      </c>
      <c r="C56" s="74"/>
      <c r="D56" s="75"/>
    </row>
    <row r="57" spans="1:7" x14ac:dyDescent="0.2">
      <c r="A57" s="72"/>
      <c r="B57" s="78" t="str">
        <f>'PROPOSTA - CUSTOS E VALORES'!D73</f>
        <v>NOME E ASSINATURA DO PROPONENTE</v>
      </c>
      <c r="C57" s="74"/>
      <c r="D57" s="75"/>
    </row>
    <row r="58" spans="1:7" x14ac:dyDescent="0.2">
      <c r="A58" s="72"/>
      <c r="B58" s="78" t="str">
        <f>'PROPOSTA - CUSTOS E VALORES'!D74</f>
        <v>NOME DA EMPRESA</v>
      </c>
      <c r="C58" s="79"/>
      <c r="D58" s="75"/>
    </row>
    <row r="59" spans="1:7" x14ac:dyDescent="0.2">
      <c r="A59" s="80"/>
      <c r="B59" s="81"/>
      <c r="C59" s="82"/>
      <c r="D59" s="83"/>
    </row>
    <row r="60" spans="1:7" x14ac:dyDescent="0.2">
      <c r="A60" s="84"/>
      <c r="B60" s="85"/>
      <c r="D60" s="84"/>
    </row>
    <row r="61" spans="1:7" x14ac:dyDescent="0.2">
      <c r="A61" s="84"/>
      <c r="B61" s="86"/>
      <c r="D61" s="84"/>
    </row>
    <row r="62" spans="1:7" x14ac:dyDescent="0.2">
      <c r="A62" s="84"/>
      <c r="B62" s="86"/>
      <c r="D62" s="84"/>
    </row>
    <row r="63" spans="1:7" x14ac:dyDescent="0.2">
      <c r="A63" s="84"/>
      <c r="B63" s="87"/>
      <c r="C63" s="84"/>
      <c r="D63" s="84"/>
    </row>
  </sheetData>
  <mergeCells count="33">
    <mergeCell ref="A1:D1"/>
    <mergeCell ref="A2:D2"/>
    <mergeCell ref="C3:D6"/>
    <mergeCell ref="A7:D7"/>
    <mergeCell ref="A9:D9"/>
    <mergeCell ref="A15:C15"/>
    <mergeCell ref="A16:D16"/>
    <mergeCell ref="A22:C22"/>
    <mergeCell ref="A23:D23"/>
    <mergeCell ref="A26:C26"/>
    <mergeCell ref="A27:D27"/>
    <mergeCell ref="A30:C30"/>
    <mergeCell ref="A31:D31"/>
    <mergeCell ref="A32:C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9:B49"/>
    <mergeCell ref="A50:B50"/>
    <mergeCell ref="A51:B51"/>
    <mergeCell ref="A44:B44"/>
    <mergeCell ref="A45:B45"/>
    <mergeCell ref="A46:B46"/>
    <mergeCell ref="A47:B47"/>
    <mergeCell ref="A48:B48"/>
  </mergeCells>
  <printOptions horizontalCentered="1"/>
  <pageMargins left="0.15763888888888899" right="0.15763888888888899" top="0.39374999999999999" bottom="0.27569444444444402" header="0.51180555555555496" footer="0.51180555555555496"/>
  <pageSetup paperSize="9" scale="81" fitToHeight="0" orientation="portrait" horizontalDpi="300" verticalDpi="300" r:id="rId1"/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view="pageBreakPreview" topLeftCell="A43" zoomScale="110" zoomScaleNormal="140" zoomScalePageLayoutView="110" workbookViewId="0">
      <selection activeCell="A27" sqref="A27:D27"/>
    </sheetView>
  </sheetViews>
  <sheetFormatPr defaultColWidth="8" defaultRowHeight="14.25" x14ac:dyDescent="0.2"/>
  <cols>
    <col min="1" max="1" width="8.375" customWidth="1"/>
    <col min="2" max="2" width="79.75" customWidth="1"/>
    <col min="3" max="3" width="11.75" customWidth="1"/>
    <col min="4" max="4" width="13.5" customWidth="1"/>
    <col min="5" max="5" width="32.875" customWidth="1"/>
    <col min="6" max="6" width="44.875" customWidth="1"/>
    <col min="7" max="7" width="42.25" customWidth="1"/>
  </cols>
  <sheetData>
    <row r="1" spans="1:8" ht="18" x14ac:dyDescent="0.25">
      <c r="A1" s="153" t="str">
        <f>'BDI Serviços'!A1</f>
        <v xml:space="preserve"> ILUMINAÇÃO CÊNICA DA FACHADA DO EDIFÍCIO-SEDE</v>
      </c>
      <c r="B1" s="153"/>
      <c r="C1" s="153"/>
      <c r="D1" s="153"/>
    </row>
    <row r="2" spans="1:8" ht="15" customHeight="1" x14ac:dyDescent="0.2">
      <c r="A2" s="154" t="s">
        <v>223</v>
      </c>
      <c r="B2" s="154"/>
      <c r="C2" s="154"/>
      <c r="D2" s="154"/>
    </row>
    <row r="3" spans="1:8" ht="24.4" customHeight="1" x14ac:dyDescent="0.2">
      <c r="A3" s="43" t="s">
        <v>1</v>
      </c>
      <c r="B3" s="44" t="str">
        <f>'PROPOSTA - CUSTOS E VALORES'!C2</f>
        <v>Contratação de escopo de empresa especializada para executar a obra de iluminação cênica da fachada frontal do Edifício-sede deste Egrégio Tribunal Regional do Trabalho da 3ª Região</v>
      </c>
      <c r="C3" s="155" t="s">
        <v>3</v>
      </c>
      <c r="D3" s="155"/>
    </row>
    <row r="4" spans="1:8" x14ac:dyDescent="0.2">
      <c r="A4" s="45" t="s">
        <v>7</v>
      </c>
      <c r="B4" s="46">
        <f>'PROPOSTA - CUSTOS E VALORES'!C4</f>
        <v>0</v>
      </c>
      <c r="C4" s="155"/>
      <c r="D4" s="155"/>
    </row>
    <row r="5" spans="1:8" x14ac:dyDescent="0.2">
      <c r="A5" s="43" t="s">
        <v>10</v>
      </c>
      <c r="B5" s="46">
        <f>'PROPOSTA - CUSTOS E VALORES'!C6</f>
        <v>0</v>
      </c>
      <c r="C5" s="155"/>
      <c r="D5" s="155"/>
    </row>
    <row r="6" spans="1:8" x14ac:dyDescent="0.2">
      <c r="A6" s="43" t="s">
        <v>164</v>
      </c>
      <c r="B6" s="47">
        <f>'PROPOSTA - CUSTOS E VALORES'!H6</f>
        <v>0</v>
      </c>
      <c r="C6" s="155"/>
      <c r="D6" s="155"/>
      <c r="G6" s="48"/>
      <c r="H6" s="48"/>
    </row>
    <row r="7" spans="1:8" x14ac:dyDescent="0.2">
      <c r="A7" s="150"/>
      <c r="B7" s="150"/>
      <c r="C7" s="150"/>
      <c r="D7" s="150"/>
      <c r="G7" s="48"/>
      <c r="H7" s="48"/>
    </row>
    <row r="8" spans="1:8" x14ac:dyDescent="0.2">
      <c r="A8" s="49" t="s">
        <v>16</v>
      </c>
      <c r="B8" s="50" t="s">
        <v>165</v>
      </c>
      <c r="C8" s="51"/>
      <c r="D8" s="52"/>
      <c r="G8" s="48"/>
      <c r="H8" s="48"/>
    </row>
    <row r="9" spans="1:8" x14ac:dyDescent="0.2">
      <c r="A9" s="160"/>
      <c r="B9" s="160"/>
      <c r="C9" s="160"/>
      <c r="D9" s="160"/>
    </row>
    <row r="10" spans="1:8" x14ac:dyDescent="0.2">
      <c r="A10" s="65" t="s">
        <v>166</v>
      </c>
      <c r="B10" s="88" t="s">
        <v>167</v>
      </c>
      <c r="C10" s="55" t="s">
        <v>168</v>
      </c>
      <c r="D10" s="56" t="s">
        <v>224</v>
      </c>
    </row>
    <row r="11" spans="1:8" x14ac:dyDescent="0.2">
      <c r="A11" s="49" t="s">
        <v>170</v>
      </c>
      <c r="B11" s="57" t="s">
        <v>171</v>
      </c>
      <c r="C11" s="58" t="s">
        <v>172</v>
      </c>
      <c r="D11" s="59">
        <v>0.65</v>
      </c>
    </row>
    <row r="12" spans="1:8" x14ac:dyDescent="0.2">
      <c r="A12" s="49" t="s">
        <v>173</v>
      </c>
      <c r="B12" s="57" t="s">
        <v>174</v>
      </c>
      <c r="C12" s="58" t="s">
        <v>175</v>
      </c>
      <c r="D12" s="59">
        <v>3</v>
      </c>
    </row>
    <row r="13" spans="1:8" x14ac:dyDescent="0.2">
      <c r="A13" s="49" t="s">
        <v>176</v>
      </c>
      <c r="B13" s="57" t="s">
        <v>225</v>
      </c>
      <c r="C13" s="58" t="s">
        <v>226</v>
      </c>
      <c r="D13" s="59">
        <v>0</v>
      </c>
    </row>
    <row r="14" spans="1:8" x14ac:dyDescent="0.2">
      <c r="A14" s="49" t="s">
        <v>179</v>
      </c>
      <c r="B14" s="57" t="s">
        <v>180</v>
      </c>
      <c r="C14" s="58" t="s">
        <v>181</v>
      </c>
      <c r="D14" s="59">
        <v>4.5</v>
      </c>
    </row>
    <row r="15" spans="1:8" ht="13.9" customHeight="1" x14ac:dyDescent="0.2">
      <c r="A15" s="151" t="s">
        <v>182</v>
      </c>
      <c r="B15" s="151"/>
      <c r="C15" s="151"/>
      <c r="D15" s="59">
        <f>SUM(D11:D14)</f>
        <v>8.15</v>
      </c>
    </row>
    <row r="16" spans="1:8" x14ac:dyDescent="0.2">
      <c r="A16" s="152"/>
      <c r="B16" s="152"/>
      <c r="C16" s="152"/>
      <c r="D16" s="152"/>
    </row>
    <row r="17" spans="1:8" x14ac:dyDescent="0.2">
      <c r="A17" s="65" t="s">
        <v>183</v>
      </c>
      <c r="B17" s="54" t="s">
        <v>184</v>
      </c>
      <c r="C17" s="55" t="s">
        <v>168</v>
      </c>
      <c r="D17" s="56" t="s">
        <v>169</v>
      </c>
    </row>
    <row r="18" spans="1:8" x14ac:dyDescent="0.2">
      <c r="A18" s="49" t="s">
        <v>185</v>
      </c>
      <c r="B18" s="57" t="s">
        <v>186</v>
      </c>
      <c r="C18" s="58" t="s">
        <v>227</v>
      </c>
      <c r="D18" s="89"/>
    </row>
    <row r="19" spans="1:8" x14ac:dyDescent="0.2">
      <c r="A19" s="60" t="s">
        <v>188</v>
      </c>
      <c r="B19" s="57" t="s">
        <v>189</v>
      </c>
      <c r="C19" s="58" t="s">
        <v>228</v>
      </c>
      <c r="D19" s="89"/>
    </row>
    <row r="20" spans="1:8" x14ac:dyDescent="0.2">
      <c r="A20" s="60" t="s">
        <v>191</v>
      </c>
      <c r="B20" s="57" t="s">
        <v>192</v>
      </c>
      <c r="C20" s="58" t="s">
        <v>229</v>
      </c>
      <c r="D20" s="89"/>
    </row>
    <row r="21" spans="1:8" x14ac:dyDescent="0.2">
      <c r="A21" s="60" t="s">
        <v>194</v>
      </c>
      <c r="B21" s="57" t="s">
        <v>195</v>
      </c>
      <c r="C21" s="58" t="s">
        <v>229</v>
      </c>
      <c r="D21" s="89"/>
    </row>
    <row r="22" spans="1:8" ht="13.9" customHeight="1" x14ac:dyDescent="0.2">
      <c r="A22" s="151" t="s">
        <v>182</v>
      </c>
      <c r="B22" s="151"/>
      <c r="C22" s="151"/>
      <c r="D22" s="59">
        <f>SUM(D18:D21)</f>
        <v>0</v>
      </c>
    </row>
    <row r="23" spans="1:8" x14ac:dyDescent="0.2">
      <c r="A23" s="150"/>
      <c r="B23" s="150"/>
      <c r="C23" s="150"/>
      <c r="D23" s="150"/>
    </row>
    <row r="24" spans="1:8" x14ac:dyDescent="0.2">
      <c r="A24" s="65" t="s">
        <v>196</v>
      </c>
      <c r="B24" s="54" t="s">
        <v>197</v>
      </c>
      <c r="C24" s="55" t="s">
        <v>168</v>
      </c>
      <c r="D24" s="56" t="s">
        <v>169</v>
      </c>
    </row>
    <row r="25" spans="1:8" x14ac:dyDescent="0.2">
      <c r="A25" s="60" t="s">
        <v>198</v>
      </c>
      <c r="B25" s="61" t="str">
        <f>'BDI Serviços'!B25</f>
        <v>Juros Mensal (Meta SELIC SET/2021 – 6,25%)</v>
      </c>
      <c r="C25" s="62" t="s">
        <v>200</v>
      </c>
      <c r="D25" s="90"/>
    </row>
    <row r="26" spans="1:8" ht="13.9" customHeight="1" x14ac:dyDescent="0.2">
      <c r="A26" s="151" t="s">
        <v>182</v>
      </c>
      <c r="B26" s="151"/>
      <c r="C26" s="151"/>
      <c r="D26" s="59">
        <f>SUM(D25)</f>
        <v>0</v>
      </c>
    </row>
    <row r="27" spans="1:8" x14ac:dyDescent="0.2">
      <c r="A27" s="150"/>
      <c r="B27" s="150"/>
      <c r="C27" s="150"/>
      <c r="D27" s="150"/>
    </row>
    <row r="28" spans="1:8" x14ac:dyDescent="0.2">
      <c r="A28" s="65" t="s">
        <v>201</v>
      </c>
      <c r="B28" s="54" t="s">
        <v>202</v>
      </c>
      <c r="C28" s="55" t="s">
        <v>168</v>
      </c>
      <c r="D28" s="56" t="s">
        <v>169</v>
      </c>
    </row>
    <row r="29" spans="1:8" x14ac:dyDescent="0.2">
      <c r="A29" s="49" t="s">
        <v>203</v>
      </c>
      <c r="B29" s="57" t="s">
        <v>204</v>
      </c>
      <c r="C29" s="58" t="s">
        <v>230</v>
      </c>
      <c r="D29" s="89"/>
    </row>
    <row r="30" spans="1:8" ht="13.9" customHeight="1" x14ac:dyDescent="0.2">
      <c r="A30" s="151" t="s">
        <v>182</v>
      </c>
      <c r="B30" s="151"/>
      <c r="C30" s="151"/>
      <c r="D30" s="59">
        <f>SUM(D29)</f>
        <v>0</v>
      </c>
      <c r="H30">
        <v>0.52</v>
      </c>
    </row>
    <row r="31" spans="1:8" x14ac:dyDescent="0.2">
      <c r="A31" s="150"/>
      <c r="B31" s="150"/>
      <c r="C31" s="150"/>
      <c r="D31" s="150"/>
      <c r="H31">
        <v>0.47</v>
      </c>
    </row>
    <row r="32" spans="1:8" ht="13.9" customHeight="1" x14ac:dyDescent="0.2">
      <c r="A32" s="151" t="s">
        <v>206</v>
      </c>
      <c r="B32" s="151"/>
      <c r="C32" s="151"/>
      <c r="D32" s="67">
        <f>ROUNDDOWN((1+(D22/100))*(1+D26/100)*(1+D30/100)/(1-D15/100) -1,4)</f>
        <v>8.8700000000000001E-2</v>
      </c>
      <c r="H32">
        <v>0.56999999999999995</v>
      </c>
    </row>
    <row r="33" spans="1:8" x14ac:dyDescent="0.2">
      <c r="A33" s="148"/>
      <c r="B33" s="148"/>
      <c r="C33" s="68"/>
      <c r="D33" s="69"/>
      <c r="H33">
        <v>0.5</v>
      </c>
    </row>
    <row r="34" spans="1:8" ht="16.5" x14ac:dyDescent="0.25">
      <c r="A34" s="149" t="s">
        <v>207</v>
      </c>
      <c r="B34" s="149"/>
      <c r="C34" s="68"/>
      <c r="D34" s="69"/>
      <c r="H34">
        <v>0.46</v>
      </c>
    </row>
    <row r="35" spans="1:8" x14ac:dyDescent="0.2">
      <c r="A35" s="146" t="s">
        <v>208</v>
      </c>
      <c r="B35" s="146"/>
      <c r="C35" s="68"/>
      <c r="D35" s="69"/>
      <c r="H35">
        <v>0.48</v>
      </c>
    </row>
    <row r="36" spans="1:8" x14ac:dyDescent="0.2">
      <c r="A36" s="148"/>
      <c r="B36" s="148"/>
      <c r="C36" s="68"/>
      <c r="D36" s="69"/>
      <c r="H36">
        <v>0.38</v>
      </c>
    </row>
    <row r="37" spans="1:8" ht="16.5" x14ac:dyDescent="0.25">
      <c r="A37" s="149" t="s">
        <v>209</v>
      </c>
      <c r="B37" s="149"/>
      <c r="C37" s="68"/>
      <c r="D37" s="69"/>
      <c r="H37">
        <v>0.37</v>
      </c>
    </row>
    <row r="38" spans="1:8" x14ac:dyDescent="0.2">
      <c r="A38" s="158" t="s">
        <v>210</v>
      </c>
      <c r="B38" s="158"/>
      <c r="C38" s="68"/>
      <c r="D38" s="69"/>
      <c r="H38">
        <v>0.38</v>
      </c>
    </row>
    <row r="39" spans="1:8" x14ac:dyDescent="0.2">
      <c r="A39" s="158" t="s">
        <v>211</v>
      </c>
      <c r="B39" s="158"/>
      <c r="C39" s="68"/>
      <c r="D39" s="69"/>
    </row>
    <row r="40" spans="1:8" x14ac:dyDescent="0.2">
      <c r="A40" s="159" t="s">
        <v>212</v>
      </c>
      <c r="B40" s="159"/>
      <c r="C40" s="68"/>
      <c r="D40" s="69"/>
      <c r="H40">
        <v>0.28999999999999998</v>
      </c>
    </row>
    <row r="41" spans="1:8" x14ac:dyDescent="0.2">
      <c r="A41" s="148"/>
      <c r="B41" s="148"/>
      <c r="C41" s="68"/>
      <c r="D41" s="69"/>
      <c r="H41">
        <v>0.34</v>
      </c>
    </row>
    <row r="42" spans="1:8" ht="16.5" x14ac:dyDescent="0.25">
      <c r="A42" s="149" t="s">
        <v>213</v>
      </c>
      <c r="B42" s="149"/>
      <c r="C42" s="68"/>
      <c r="D42" s="69"/>
    </row>
    <row r="43" spans="1:8" ht="13.9" customHeight="1" x14ac:dyDescent="0.2">
      <c r="A43" s="157" t="s">
        <v>214</v>
      </c>
      <c r="B43" s="157"/>
      <c r="C43" s="68"/>
      <c r="D43" s="69"/>
    </row>
    <row r="44" spans="1:8" ht="13.9" customHeight="1" x14ac:dyDescent="0.2">
      <c r="A44" s="157" t="s">
        <v>215</v>
      </c>
      <c r="B44" s="157"/>
      <c r="C44" s="68"/>
      <c r="D44" s="69"/>
    </row>
    <row r="45" spans="1:8" ht="13.9" customHeight="1" x14ac:dyDescent="0.2">
      <c r="A45" s="157" t="s">
        <v>216</v>
      </c>
      <c r="B45" s="157"/>
      <c r="C45" s="68"/>
      <c r="D45" s="69"/>
    </row>
    <row r="46" spans="1:8" ht="13.9" customHeight="1" x14ac:dyDescent="0.2">
      <c r="A46" s="157" t="s">
        <v>217</v>
      </c>
      <c r="B46" s="157"/>
      <c r="C46" s="68"/>
      <c r="D46" s="69"/>
    </row>
    <row r="47" spans="1:8" ht="26.45" customHeight="1" x14ac:dyDescent="0.2">
      <c r="A47" s="157" t="s">
        <v>231</v>
      </c>
      <c r="B47" s="157"/>
      <c r="C47" s="68"/>
      <c r="D47" s="69"/>
    </row>
    <row r="48" spans="1:8" ht="13.9" customHeight="1" x14ac:dyDescent="0.2">
      <c r="A48" s="145" t="s">
        <v>219</v>
      </c>
      <c r="B48" s="145"/>
      <c r="C48" s="68"/>
      <c r="D48" s="69"/>
    </row>
    <row r="49" spans="1:7" ht="36" customHeight="1" x14ac:dyDescent="0.2">
      <c r="A49" s="156" t="s">
        <v>220</v>
      </c>
      <c r="B49" s="156"/>
      <c r="C49" s="68"/>
      <c r="D49" s="69"/>
      <c r="G49" s="71">
        <f>1.05916303507401^(1/12)</f>
        <v>1.004801407214976</v>
      </c>
    </row>
    <row r="50" spans="1:7" ht="13.9" customHeight="1" x14ac:dyDescent="0.2">
      <c r="A50" s="157" t="s">
        <v>232</v>
      </c>
      <c r="B50" s="157"/>
      <c r="C50" s="68"/>
      <c r="D50" s="69"/>
    </row>
    <row r="51" spans="1:7" ht="13.9" customHeight="1" x14ac:dyDescent="0.2">
      <c r="A51" s="157" t="s">
        <v>222</v>
      </c>
      <c r="B51" s="157"/>
      <c r="C51" s="68"/>
      <c r="D51" s="69"/>
    </row>
    <row r="52" spans="1:7" x14ac:dyDescent="0.2">
      <c r="A52" s="29"/>
      <c r="B52" s="30"/>
      <c r="C52" s="31"/>
      <c r="D52" s="32"/>
    </row>
    <row r="53" spans="1:7" x14ac:dyDescent="0.2">
      <c r="A53" s="29"/>
      <c r="B53" s="30"/>
      <c r="C53" s="31"/>
      <c r="D53" s="32"/>
    </row>
    <row r="54" spans="1:7" x14ac:dyDescent="0.2">
      <c r="A54" s="29"/>
      <c r="B54" s="76" t="str">
        <f>'PROPOSTA - CUSTOS E VALORES'!A69</f>
        <v xml:space="preserve">                                      Belo Horizonte - MG, ____ de _______________ de 2021.</v>
      </c>
      <c r="C54" s="31"/>
      <c r="D54" s="32"/>
    </row>
    <row r="55" spans="1:7" x14ac:dyDescent="0.2">
      <c r="A55" s="29"/>
      <c r="B55" s="30"/>
      <c r="C55" s="31"/>
      <c r="D55" s="32"/>
    </row>
    <row r="56" spans="1:7" x14ac:dyDescent="0.2">
      <c r="A56" s="29"/>
      <c r="B56" s="77" t="s">
        <v>159</v>
      </c>
      <c r="C56" s="30"/>
      <c r="D56" s="32"/>
    </row>
    <row r="57" spans="1:7" x14ac:dyDescent="0.2">
      <c r="A57" s="29"/>
      <c r="B57" s="78" t="str">
        <f>'BDI Serviços'!B57</f>
        <v>NOME E ASSINATURA DO PROPONENTE</v>
      </c>
      <c r="C57" s="30"/>
      <c r="D57" s="32"/>
    </row>
    <row r="58" spans="1:7" x14ac:dyDescent="0.2">
      <c r="A58" s="29"/>
      <c r="B58" s="78" t="str">
        <f>'BDI Serviços'!B58</f>
        <v>NOME DA EMPRESA</v>
      </c>
      <c r="C58" s="30"/>
      <c r="D58" s="32"/>
    </row>
    <row r="59" spans="1:7" x14ac:dyDescent="0.2">
      <c r="A59" s="39"/>
      <c r="B59" s="91"/>
      <c r="C59" s="40"/>
      <c r="D59" s="42"/>
    </row>
    <row r="60" spans="1:7" x14ac:dyDescent="0.2">
      <c r="A60" s="84"/>
      <c r="B60" s="85"/>
      <c r="D60" s="84"/>
    </row>
    <row r="61" spans="1:7" x14ac:dyDescent="0.2">
      <c r="A61" s="84"/>
      <c r="B61" s="86"/>
      <c r="D61" s="84"/>
    </row>
    <row r="62" spans="1:7" x14ac:dyDescent="0.2">
      <c r="A62" s="84"/>
      <c r="B62" s="86"/>
      <c r="D62" s="84"/>
    </row>
    <row r="63" spans="1:7" x14ac:dyDescent="0.2">
      <c r="A63" s="84"/>
      <c r="B63" s="87"/>
      <c r="C63" s="84"/>
      <c r="D63" s="84"/>
    </row>
  </sheetData>
  <mergeCells count="33">
    <mergeCell ref="A1:D1"/>
    <mergeCell ref="A2:D2"/>
    <mergeCell ref="C3:D6"/>
    <mergeCell ref="A7:D7"/>
    <mergeCell ref="A9:D9"/>
    <mergeCell ref="A15:C15"/>
    <mergeCell ref="A16:D16"/>
    <mergeCell ref="A22:C22"/>
    <mergeCell ref="A23:D23"/>
    <mergeCell ref="A26:C26"/>
    <mergeCell ref="A27:D27"/>
    <mergeCell ref="A30:C30"/>
    <mergeCell ref="A31:D31"/>
    <mergeCell ref="A32:C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9:B49"/>
    <mergeCell ref="A50:B50"/>
    <mergeCell ref="A51:B51"/>
    <mergeCell ref="A44:B44"/>
    <mergeCell ref="A45:B45"/>
    <mergeCell ref="A46:B46"/>
    <mergeCell ref="A47:B47"/>
    <mergeCell ref="A48:B48"/>
  </mergeCells>
  <printOptions horizontalCentered="1"/>
  <pageMargins left="0.15763888888888899" right="0.15763888888888899" top="0.39374999999999999" bottom="0.27569444444444402" header="0.51180555555555496" footer="0.51180555555555496"/>
  <pageSetup paperSize="9" scale="8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24"/>
  <sheetViews>
    <sheetView view="pageBreakPreview" zoomScale="110" zoomScaleNormal="140" zoomScalePageLayoutView="110" workbookViewId="0">
      <selection activeCell="E3" sqref="E3:F3"/>
    </sheetView>
  </sheetViews>
  <sheetFormatPr defaultColWidth="8" defaultRowHeight="14.25" x14ac:dyDescent="0.2"/>
  <cols>
    <col min="1" max="1" width="9.5" style="92" customWidth="1"/>
    <col min="2" max="2" width="43.625" style="92" customWidth="1"/>
    <col min="3" max="8" width="8.875" style="92" customWidth="1"/>
    <col min="9" max="9" width="16.625" style="92" customWidth="1"/>
    <col min="10" max="10" width="13.625" style="92" customWidth="1"/>
    <col min="11" max="11" width="14.875" style="92" customWidth="1"/>
    <col min="12" max="1021" width="8" style="92"/>
    <col min="1022" max="1024" width="10.5" customWidth="1"/>
  </cols>
  <sheetData>
    <row r="1" spans="1:8" ht="18" x14ac:dyDescent="0.25">
      <c r="A1" s="179" t="s">
        <v>233</v>
      </c>
      <c r="B1" s="179"/>
      <c r="C1" s="179"/>
      <c r="D1" s="179"/>
      <c r="E1" s="179"/>
      <c r="F1" s="179"/>
      <c r="G1" s="179"/>
      <c r="H1" s="179"/>
    </row>
    <row r="2" spans="1:8" ht="23.85" customHeight="1" x14ac:dyDescent="0.2">
      <c r="A2" s="2" t="s">
        <v>234</v>
      </c>
      <c r="B2" s="139" t="str">
        <f>'PROPOSTA - CUSTOS E VALORES'!C2</f>
        <v>Contratação de escopo de empresa especializada para executar a obra de iluminação cênica da fachada frontal do Edifício-sede deste Egrégio Tribunal Regional do Trabalho da 3ª Região</v>
      </c>
      <c r="C2" s="139"/>
      <c r="D2" s="139"/>
      <c r="E2" s="139"/>
      <c r="F2" s="139"/>
      <c r="G2" s="180" t="s">
        <v>3</v>
      </c>
      <c r="H2" s="180"/>
    </row>
    <row r="3" spans="1:8" x14ac:dyDescent="0.2">
      <c r="A3" s="2" t="s">
        <v>235</v>
      </c>
      <c r="B3" s="93" t="s">
        <v>5</v>
      </c>
      <c r="C3" s="133" t="s">
        <v>236</v>
      </c>
      <c r="D3" s="133"/>
      <c r="E3" s="181">
        <f>'PROPOSTA - CUSTOS E VALORES'!H6</f>
        <v>0</v>
      </c>
      <c r="F3" s="181"/>
      <c r="G3" s="180" t="s">
        <v>183</v>
      </c>
      <c r="H3" s="180"/>
    </row>
    <row r="4" spans="1:8" ht="13.9" customHeight="1" x14ac:dyDescent="0.2">
      <c r="A4" s="2" t="s">
        <v>237</v>
      </c>
      <c r="B4" s="182">
        <f>'PROPOSTA - CUSTOS E VALORES'!C4</f>
        <v>0</v>
      </c>
      <c r="C4" s="182"/>
      <c r="D4" s="182"/>
      <c r="E4" s="182"/>
      <c r="F4" s="182"/>
      <c r="G4" s="180" t="s">
        <v>238</v>
      </c>
      <c r="H4" s="180"/>
    </row>
    <row r="5" spans="1:8" x14ac:dyDescent="0.2">
      <c r="A5" s="2" t="s">
        <v>239</v>
      </c>
      <c r="B5" s="94">
        <f>'PROPOSTA - CUSTOS E VALORES'!C6</f>
        <v>0</v>
      </c>
      <c r="C5" s="133" t="s">
        <v>240</v>
      </c>
      <c r="D5" s="133"/>
      <c r="E5" s="183">
        <f>'PROPOSTA - CUSTOS E VALORES'!J60</f>
        <v>269.36</v>
      </c>
      <c r="F5" s="183"/>
      <c r="G5" s="180"/>
      <c r="H5" s="180"/>
    </row>
    <row r="6" spans="1:8" x14ac:dyDescent="0.2">
      <c r="A6" s="172"/>
      <c r="B6" s="172"/>
      <c r="C6" s="172"/>
      <c r="D6" s="172"/>
      <c r="E6" s="172"/>
      <c r="F6" s="172"/>
      <c r="G6" s="172"/>
      <c r="H6" s="172"/>
    </row>
    <row r="7" spans="1:8" ht="13.9" customHeight="1" x14ac:dyDescent="0.2">
      <c r="A7" s="173" t="s">
        <v>15</v>
      </c>
      <c r="B7" s="174" t="s">
        <v>17</v>
      </c>
      <c r="C7" s="175" t="s">
        <v>241</v>
      </c>
      <c r="D7" s="175"/>
      <c r="E7" s="175"/>
      <c r="F7" s="176" t="s">
        <v>242</v>
      </c>
      <c r="G7" s="177" t="s">
        <v>243</v>
      </c>
      <c r="H7" s="178" t="s">
        <v>24</v>
      </c>
    </row>
    <row r="8" spans="1:8" ht="13.9" customHeight="1" x14ac:dyDescent="0.2">
      <c r="A8" s="173"/>
      <c r="B8" s="174"/>
      <c r="C8" s="175" t="s">
        <v>244</v>
      </c>
      <c r="D8" s="175"/>
      <c r="E8" s="95" t="s">
        <v>245</v>
      </c>
      <c r="F8" s="176"/>
      <c r="G8" s="176"/>
      <c r="H8" s="178"/>
    </row>
    <row r="9" spans="1:8" ht="25.5" x14ac:dyDescent="0.2">
      <c r="A9" s="173"/>
      <c r="B9" s="174"/>
      <c r="C9" s="95" t="s">
        <v>246</v>
      </c>
      <c r="D9" s="95" t="s">
        <v>247</v>
      </c>
      <c r="E9" s="95" t="s">
        <v>248</v>
      </c>
      <c r="F9" s="95" t="s">
        <v>249</v>
      </c>
      <c r="G9" s="95" t="s">
        <v>250</v>
      </c>
      <c r="H9" s="178"/>
    </row>
    <row r="10" spans="1:8" ht="13.9" customHeight="1" x14ac:dyDescent="0.2">
      <c r="A10" s="96">
        <v>1</v>
      </c>
      <c r="B10" s="97" t="str">
        <f>'PROPOSTA - CUSTOS E VALORES'!B11</f>
        <v>SERVIÇOS PRELIMINARES</v>
      </c>
      <c r="C10" s="98">
        <v>1</v>
      </c>
      <c r="D10" s="97"/>
      <c r="E10" s="97"/>
      <c r="F10" s="168">
        <v>1</v>
      </c>
      <c r="G10" s="169">
        <v>1</v>
      </c>
      <c r="H10" s="99">
        <f>'PROPOSTA - CUSTOS E VALORES'!J11</f>
        <v>269.36</v>
      </c>
    </row>
    <row r="11" spans="1:8" ht="12.75" customHeight="1" x14ac:dyDescent="0.2">
      <c r="A11" s="96">
        <v>2</v>
      </c>
      <c r="B11" s="97" t="str">
        <f>'PROPOSTA - CUSTOS E VALORES'!B13</f>
        <v>INFRAESTRUTURA</v>
      </c>
      <c r="C11" s="170">
        <v>1</v>
      </c>
      <c r="D11" s="170"/>
      <c r="E11" s="100"/>
      <c r="F11" s="168"/>
      <c r="G11" s="169"/>
      <c r="H11" s="99">
        <f>'PROPOSTA - CUSTOS E VALORES'!J13</f>
        <v>0</v>
      </c>
    </row>
    <row r="12" spans="1:8" ht="13.9" customHeight="1" x14ac:dyDescent="0.2">
      <c r="A12" s="96">
        <v>3</v>
      </c>
      <c r="B12" s="101" t="str">
        <f>'PROPOSTA - CUSTOS E VALORES'!B41</f>
        <v>SERVIÇOS COMPLEMENTARES</v>
      </c>
      <c r="C12" s="170">
        <v>1</v>
      </c>
      <c r="D12" s="170"/>
      <c r="E12" s="100"/>
      <c r="F12" s="168"/>
      <c r="G12" s="169"/>
      <c r="H12" s="99">
        <f>'PROPOSTA - CUSTOS E VALORES'!J41</f>
        <v>0</v>
      </c>
    </row>
    <row r="13" spans="1:8" ht="13.9" customHeight="1" x14ac:dyDescent="0.2">
      <c r="A13" s="96">
        <v>4</v>
      </c>
      <c r="B13" s="102" t="s">
        <v>251</v>
      </c>
      <c r="C13" s="170">
        <v>1</v>
      </c>
      <c r="D13" s="170"/>
      <c r="E13" s="100"/>
      <c r="F13" s="168"/>
      <c r="G13" s="169"/>
      <c r="H13" s="99">
        <f>'PROPOSTA - CUSTOS E VALORES'!J52</f>
        <v>0</v>
      </c>
    </row>
    <row r="14" spans="1:8" ht="12.75" customHeight="1" x14ac:dyDescent="0.2">
      <c r="A14" s="96">
        <v>5</v>
      </c>
      <c r="B14" s="97" t="str">
        <f>'PROPOSTA - CUSTOS E VALORES'!B55</f>
        <v>INSTALAÇÃO E COMISSIONAMENTO</v>
      </c>
      <c r="C14" s="171"/>
      <c r="D14" s="171"/>
      <c r="E14" s="98">
        <v>1</v>
      </c>
      <c r="F14" s="168"/>
      <c r="G14" s="169"/>
      <c r="H14" s="99">
        <f>'PROPOSTA - CUSTOS E VALORES'!J55</f>
        <v>0</v>
      </c>
    </row>
    <row r="15" spans="1:8" ht="13.9" customHeight="1" x14ac:dyDescent="0.2">
      <c r="A15" s="163"/>
      <c r="B15" s="163"/>
      <c r="C15" s="163"/>
      <c r="D15" s="163"/>
      <c r="E15" s="164" t="s">
        <v>252</v>
      </c>
      <c r="F15" s="164"/>
      <c r="G15" s="164"/>
      <c r="H15" s="103">
        <f>'PROPOSTA - CUSTOS E VALORES'!J60</f>
        <v>269.36</v>
      </c>
    </row>
    <row r="16" spans="1:8" x14ac:dyDescent="0.2">
      <c r="A16" s="165"/>
      <c r="B16" s="165"/>
      <c r="C16" s="165"/>
      <c r="D16" s="165"/>
      <c r="E16" s="165"/>
      <c r="F16" s="165"/>
      <c r="G16" s="165"/>
      <c r="H16" s="165"/>
    </row>
    <row r="17" spans="1:8" x14ac:dyDescent="0.2">
      <c r="A17" s="104"/>
      <c r="B17" s="105"/>
      <c r="C17" s="105"/>
      <c r="D17" s="105"/>
      <c r="E17" s="105"/>
      <c r="F17" s="105"/>
      <c r="G17" s="105"/>
      <c r="H17" s="106"/>
    </row>
    <row r="18" spans="1:8" x14ac:dyDescent="0.2">
      <c r="A18" s="166" t="str">
        <f>'PROPOSTA - CUSTOS E VALORES'!A69</f>
        <v xml:space="preserve">                                      Belo Horizonte - MG, ____ de _______________ de 2021.</v>
      </c>
      <c r="B18" s="166"/>
      <c r="C18" s="166"/>
      <c r="D18" s="166"/>
      <c r="E18" s="166"/>
      <c r="F18" s="166"/>
      <c r="G18" s="166"/>
      <c r="H18" s="166"/>
    </row>
    <row r="19" spans="1:8" x14ac:dyDescent="0.2">
      <c r="A19" s="104"/>
      <c r="B19" s="105"/>
      <c r="C19" s="105"/>
      <c r="D19" s="105"/>
      <c r="E19" s="105"/>
      <c r="F19" s="105"/>
      <c r="G19" s="105"/>
      <c r="H19" s="106"/>
    </row>
    <row r="20" spans="1:8" x14ac:dyDescent="0.2">
      <c r="A20" s="104"/>
      <c r="B20" s="167" t="s">
        <v>253</v>
      </c>
      <c r="C20" s="167"/>
      <c r="D20" s="167"/>
      <c r="E20" s="167"/>
      <c r="F20" s="167"/>
      <c r="G20" s="167"/>
      <c r="H20" s="167"/>
    </row>
    <row r="21" spans="1:8" x14ac:dyDescent="0.2">
      <c r="A21" s="104"/>
      <c r="B21" s="161" t="str">
        <f>'PROPOSTA - CUSTOS E VALORES'!D73</f>
        <v>NOME E ASSINATURA DO PROPONENTE</v>
      </c>
      <c r="C21" s="161"/>
      <c r="D21" s="161"/>
      <c r="E21" s="161"/>
      <c r="F21" s="161"/>
      <c r="G21" s="161"/>
      <c r="H21" s="161"/>
    </row>
    <row r="22" spans="1:8" x14ac:dyDescent="0.2">
      <c r="A22" s="104"/>
      <c r="B22" s="162" t="str">
        <f>'PROPOSTA - CUSTOS E VALORES'!D74</f>
        <v>NOME DA EMPRESA</v>
      </c>
      <c r="C22" s="162"/>
      <c r="D22" s="162"/>
      <c r="E22" s="162"/>
      <c r="F22" s="162"/>
      <c r="G22" s="162"/>
      <c r="H22" s="162"/>
    </row>
    <row r="23" spans="1:8" x14ac:dyDescent="0.2">
      <c r="A23" s="104"/>
      <c r="B23" s="107"/>
      <c r="C23" s="105"/>
      <c r="D23" s="108"/>
      <c r="E23" s="108"/>
      <c r="F23" s="108"/>
      <c r="G23" s="108"/>
      <c r="H23" s="106"/>
    </row>
    <row r="24" spans="1:8" x14ac:dyDescent="0.2">
      <c r="A24" s="109"/>
      <c r="B24" s="110"/>
      <c r="C24" s="111"/>
      <c r="D24" s="111"/>
      <c r="E24" s="111"/>
      <c r="F24" s="111"/>
      <c r="G24" s="111"/>
      <c r="H24" s="112"/>
    </row>
  </sheetData>
  <sheetProtection sheet="1" objects="1" scenarios="1"/>
  <mergeCells count="29">
    <mergeCell ref="A1:H1"/>
    <mergeCell ref="B2:F2"/>
    <mergeCell ref="G2:H5"/>
    <mergeCell ref="C3:D3"/>
    <mergeCell ref="E3:F3"/>
    <mergeCell ref="B4:F4"/>
    <mergeCell ref="C5:D5"/>
    <mergeCell ref="E5:F5"/>
    <mergeCell ref="A6:H6"/>
    <mergeCell ref="A7:A9"/>
    <mergeCell ref="B7:B9"/>
    <mergeCell ref="C7:E7"/>
    <mergeCell ref="F7:F8"/>
    <mergeCell ref="G7:G8"/>
    <mergeCell ref="H7:H9"/>
    <mergeCell ref="C8:D8"/>
    <mergeCell ref="F10:F14"/>
    <mergeCell ref="G10:G14"/>
    <mergeCell ref="C11:D11"/>
    <mergeCell ref="C12:D12"/>
    <mergeCell ref="C13:D13"/>
    <mergeCell ref="C14:D14"/>
    <mergeCell ref="B21:H21"/>
    <mergeCell ref="B22:H22"/>
    <mergeCell ref="A15:D15"/>
    <mergeCell ref="E15:G15"/>
    <mergeCell ref="A16:H16"/>
    <mergeCell ref="A18:H18"/>
    <mergeCell ref="B20:H20"/>
  </mergeCells>
  <printOptions horizontalCentered="1" verticalCentered="1"/>
  <pageMargins left="0.24027777777777801" right="0.30972222222222201" top="0.63541666666666696" bottom="0.78749999999999998" header="0.37013888888888902" footer="0.51180555555555496"/>
  <pageSetup paperSize="9" scale="120" orientation="landscape" horizontalDpi="300" verticalDpi="300" r:id="rId1"/>
  <headerFooter>
    <oddHeader>&amp;C&amp;"Times New Roman,Normal"&amp;12&amp;Kffffff&amp;A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PROPOSTA - CUSTOS E VALORES</vt:lpstr>
      <vt:lpstr>BDI Serviços</vt:lpstr>
      <vt:lpstr>BDI Materiais</vt:lpstr>
      <vt:lpstr>CRONOGRAMA FÍSICIO-FINANCEIRO</vt:lpstr>
      <vt:lpstr>'BDI Materiais'!Area_de_impressao</vt:lpstr>
      <vt:lpstr>'BDI Serviços'!Area_de_impressao</vt:lpstr>
      <vt:lpstr>'CRONOGRAMA FÍSICIO-FINANCEIRO'!Area_de_impressao</vt:lpstr>
      <vt:lpstr>'PROPOSTA - CUSTOS E VALORES'!Area_de_impressao</vt:lpstr>
      <vt:lpstr>'BDI Materiais'!Print_Area_0</vt:lpstr>
      <vt:lpstr>'BDI Serviços'!Print_Area_0</vt:lpstr>
      <vt:lpstr>'PROPOSTA - CUSTOS E VALORES'!Print_Area_0</vt:lpstr>
      <vt:lpstr>'PROPOSTA - CUSTOS E VALORES'!Titulos_de_impressao</vt:lpstr>
    </vt:vector>
  </TitlesOfParts>
  <Company>Tribunal Regional do Trabalho da 3ª Região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Evandro Ribeiro Gomes Coelho</dc:creator>
  <dc:description/>
  <cp:lastModifiedBy>Franciara Pereira Rodrigues Mapa</cp:lastModifiedBy>
  <cp:revision>151</cp:revision>
  <cp:lastPrinted>2021-07-02T17:38:57Z</cp:lastPrinted>
  <dcterms:created xsi:type="dcterms:W3CDTF">2019-09-02T19:13:47Z</dcterms:created>
  <dcterms:modified xsi:type="dcterms:W3CDTF">2021-10-15T17:59:24Z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